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2\1ER TRIM\"/>
    </mc:Choice>
  </mc:AlternateContent>
  <xr:revisionPtr revIDLastSave="0" documentId="13_ncr:1_{BB5229BC-2CE4-42C7-B586-598D904F5A5F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ESF'!$B$1:$M$82</definedName>
    <definedName name="_xlnm.Print_Area" localSheetId="1">'F2. IADPyOP'!$B$1:$J$40</definedName>
    <definedName name="_xlnm.Print_Area" localSheetId="2">'F3. IAODF'!$B$1:$L$24</definedName>
    <definedName name="_xlnm.Print_Area" localSheetId="3">'F4. BALPRESUP'!$D$3:$G$63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F32" i="4"/>
  <c r="F33" i="4"/>
  <c r="F34" i="4"/>
  <c r="F35" i="4"/>
  <c r="F36" i="4"/>
  <c r="F37" i="4"/>
  <c r="F38" i="4"/>
  <c r="F30" i="4"/>
  <c r="F21" i="4"/>
  <c r="F22" i="4"/>
  <c r="F23" i="4"/>
  <c r="F24" i="4"/>
  <c r="F25" i="4"/>
  <c r="F26" i="4"/>
  <c r="F27" i="4"/>
  <c r="F28" i="4"/>
  <c r="F19" i="4"/>
  <c r="F20" i="4"/>
  <c r="D29" i="4"/>
  <c r="E68" i="3"/>
  <c r="E70" i="3" s="1"/>
  <c r="E65" i="3"/>
  <c r="E61" i="3"/>
  <c r="F104" i="4"/>
  <c r="F88" i="4"/>
  <c r="D70" i="3"/>
  <c r="F63" i="3"/>
  <c r="G13" i="5"/>
  <c r="E14" i="6"/>
  <c r="D92" i="4"/>
  <c r="F98" i="4"/>
  <c r="F99" i="4"/>
  <c r="F96" i="4"/>
  <c r="F14" i="4"/>
  <c r="F15" i="4"/>
  <c r="F16" i="4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68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E64" i="3"/>
  <c r="F64" i="3"/>
  <c r="G64" i="3"/>
  <c r="D64" i="3"/>
  <c r="E63" i="3" l="1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I96" i="4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I21" i="4"/>
  <c r="I22" i="4"/>
  <c r="I23" i="4"/>
  <c r="I24" i="4"/>
  <c r="I25" i="4"/>
  <c r="I26" i="4"/>
  <c r="I27" i="4"/>
  <c r="I28" i="4"/>
  <c r="I20" i="4"/>
  <c r="F13" i="4"/>
  <c r="I13" i="4" s="1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F41" i="5" s="1"/>
  <c r="F47" i="5" s="1"/>
  <c r="F48" i="5" s="1"/>
  <c r="G41" i="3"/>
  <c r="C41" i="3"/>
  <c r="E41" i="5" s="1"/>
  <c r="G43" i="6" l="1"/>
  <c r="G44" i="6"/>
  <c r="C23" i="8"/>
  <c r="C22" i="8" s="1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H10" i="4"/>
  <c r="E10" i="4"/>
  <c r="E26" i="7" s="1"/>
  <c r="E21" i="7" s="1"/>
  <c r="I10" i="4"/>
  <c r="D83" i="4"/>
  <c r="G10" i="4"/>
  <c r="F10" i="4"/>
  <c r="F26" i="7" s="1"/>
  <c r="F21" i="7" s="1"/>
  <c r="G53" i="5"/>
  <c r="F53" i="5"/>
  <c r="E53" i="5"/>
  <c r="G51" i="5"/>
  <c r="F51" i="5"/>
  <c r="E51" i="5"/>
  <c r="E13" i="5" s="1"/>
  <c r="G43" i="5"/>
  <c r="E43" i="5"/>
  <c r="G41" i="5"/>
  <c r="G47" i="5" s="1"/>
  <c r="E12" i="5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F49" i="1" l="1"/>
  <c r="F64" i="1" s="1"/>
  <c r="G59" i="7"/>
  <c r="G54" i="7" s="1"/>
  <c r="G44" i="7" s="1"/>
  <c r="F55" i="5"/>
  <c r="F57" i="5" s="1"/>
  <c r="G26" i="7"/>
  <c r="G21" i="7" s="1"/>
  <c r="G11" i="7" s="1"/>
  <c r="H26" i="7"/>
  <c r="H21" i="7" s="1"/>
  <c r="H11" i="7" s="1"/>
  <c r="H156" i="4"/>
  <c r="H160" i="4" s="1"/>
  <c r="E55" i="5"/>
  <c r="E17" i="5" s="1"/>
  <c r="D59" i="7"/>
  <c r="D54" i="7" s="1"/>
  <c r="D44" i="7" s="1"/>
  <c r="D77" i="7" s="1"/>
  <c r="D81" i="7" s="1"/>
  <c r="H21" i="2"/>
  <c r="H25" i="2" s="1"/>
  <c r="F156" i="4"/>
  <c r="F160" i="4" s="1"/>
  <c r="G55" i="5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G52" i="5"/>
  <c r="E42" i="5"/>
  <c r="K9" i="9"/>
  <c r="J9" i="9"/>
  <c r="G77" i="7" l="1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F15" i="5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<sst xmlns="http://schemas.openxmlformats.org/spreadsheetml/2006/main" count="857" uniqueCount="546">
  <si>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</si>
  <si>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</si>
  <si>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</si>
  <si>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</si>
  <si>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</si>
  <si>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</si>
  <si>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</si>
  <si>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</si>
  <si>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</si>
  <si>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</si>
  <si>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</si>
  <si>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</si>
  <si>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</si>
  <si>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</si>
  <si>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</si>
  <si>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</si>
  <si>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</si>
  <si>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</si>
  <si>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</si>
  <si>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</si>
  <si>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</si>
  <si>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</si>
  <si>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</si>
  <si>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</si>
  <si>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</si>
  <si>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</si>
  <si>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</si>
  <si>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</si>
  <si>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</si>
  <si>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</si>
  <si>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</si>
  <si>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</si>
  <si>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</si>
  <si>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</si>
  <si>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</si>
  <si>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</si>
  <si>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</si>
  <si>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</si>
  <si>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</si>
  <si>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</si>
  <si>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</si>
  <si>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</si>
  <si>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</si>
  <si>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</si>
  <si>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</si>
  <si>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</si>
  <si>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</si>
  <si>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</si>
  <si>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</si>
  <si>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</si>
  <si>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</si>
  <si>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</si>
  <si>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</si>
  <si>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</si>
  <si>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</si>
  <si>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</si>
  <si>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</si>
  <si>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</si>
  <si>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</si>
  <si>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</si>
  <si>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</si>
  <si>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</si>
  <si>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</si>
  <si>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</si>
  <si>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</si>
  <si>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</si>
  <si>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</si>
  <si>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</si>
  <si>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</si>
  <si>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</si>
  <si>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</si>
  <si>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</si>
  <si>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</si>
  <si>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</si>
  <si>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</si>
  <si>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</si>
  <si>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</si>
  <si>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</si>
  <si>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</si>
  <si>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</si>
  <si>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</si>
  <si>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</si>
  <si>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</si>
  <si>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</si>
  <si>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</si>
  <si>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</si>
  <si>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</si>
  <si>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</si>
  <si>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</si>
  <si>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</si>
  <si>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</si>
  <si>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</si>
  <si>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</si>
  <si>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</si>
  <si>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</si>
  <si>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</si>
  <si>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</si>
  <si>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</si>
  <si>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</si>
  <si>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</si>
  <si>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</si>
  <si>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</si>
  <si>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</si>
  <si>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</si>
  <si>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</si>
  <si>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</si>
  <si>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</si>
  <si>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</si>
  <si>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</si>
  <si>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</si>
  <si>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</si>
  <si>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</si>
  <si>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</si>
  <si>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</si>
  <si>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</si>
  <si>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</si>
  <si>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</si>
  <si>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</si>
  <si>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</si>
  <si>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</si>
  <si>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</si>
  <si>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</si>
  <si>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</si>
  <si>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</si>
  <si>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</si>
  <si>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</si>
  <si>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</si>
  <si>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</si>
  <si>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</si>
  <si>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</si>
  <si>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</si>
  <si>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</si>
  <si>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</si>
  <si>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</si>
  <si>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</si>
  <si>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</si>
  <si>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</si>
  <si>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</si>
  <si>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</si>
  <si>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</si>
  <si>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</si>
  <si>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</si>
  <si>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</si>
  <si>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</si>
  <si>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</si>
  <si>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</si>
  <si>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</si>
  <si>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</si>
  <si>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</si>
  <si>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</si>
  <si>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</si>
  <si>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</si>
  <si>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</si>
  <si>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</si>
  <si>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</si>
  <si>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</si>
  <si>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</si>
  <si>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</si>
  <si>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</si>
  <si>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</si>
  <si>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</si>
  <si>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</si>
  <si>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</si>
  <si>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</si>
  <si>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</si>
  <si>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</si>
  <si>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</si>
  <si>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</si>
  <si>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</si>
  <si>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</si>
  <si>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</si>
  <si>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</si>
  <si>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</si>
  <si>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</si>
  <si>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</si>
  <si>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</si>
  <si>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</si>
  <si>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</si>
  <si>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</si>
  <si>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</si>
  <si>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</si>
  <si>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</si>
  <si>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</si>
  <si>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</si>
  <si>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</si>
  <si>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</si>
  <si>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</si>
  <si>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</si>
  <si>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</si>
  <si>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</si>
  <si>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</si>
  <si>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</si>
  <si>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</si>
  <si>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</si>
  <si>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</si>
  <si>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</si>
  <si>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</si>
  <si>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</si>
  <si>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</si>
  <si>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</si>
  <si>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</si>
  <si>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</si>
  <si>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</si>
  <si>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</si>
  <si>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</si>
  <si>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</si>
  <si>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</si>
  <si>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</si>
  <si>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</si>
  <si>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</si>
  <si>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</si>
  <si>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</si>
  <si>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</si>
  <si>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</si>
  <si>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</si>
  <si>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</si>
  <si>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</si>
  <si>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</si>
  <si>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</si>
  <si>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</si>
  <si>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</si>
  <si>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</si>
  <si>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</si>
  <si>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</si>
  <si>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</si>
  <si>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</si>
  <si>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</si>
  <si>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</si>
  <si>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</si>
  <si>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</si>
  <si>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</si>
  <si>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</si>
  <si>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</si>
  <si>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</si>
  <si>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</si>
  <si>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</si>
  <si>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</si>
  <si>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</si>
  <si>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</si>
  <si>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</si>
  <si>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</si>
  <si>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</si>
  <si>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</si>
  <si>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</si>
  <si>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</si>
  <si>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</si>
  <si>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</si>
  <si>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</si>
  <si>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</si>
  <si>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</si>
  <si>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</si>
  <si>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</si>
  <si>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</si>
  <si>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</si>
  <si>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</si>
  <si>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</si>
  <si>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</si>
  <si>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</si>
  <si>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</si>
  <si>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</si>
  <si>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</si>
  <si>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</si>
  <si>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</si>
  <si>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</si>
  <si>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</si>
  <si>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</si>
  <si>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</si>
  <si>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</si>
  <si>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</si>
  <si>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</si>
  <si>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</si>
  <si>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</si>
  <si>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</si>
  <si>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</si>
  <si>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</si>
  <si>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</si>
  <si>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</si>
  <si>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</si>
  <si>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</si>
  <si>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</si>
  <si>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</si>
  <si>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</si>
  <si>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</si>
  <si>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</si>
  <si>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</si>
  <si>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</si>
  <si>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</si>
  <si>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</si>
  <si>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</si>
  <si>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</si>
  <si>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</si>
  <si>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</si>
  <si>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</si>
  <si>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</si>
  <si>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</si>
  <si>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</si>
  <si>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</si>
  <si>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</si>
  <si>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</si>
  <si>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</si>
  <si>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</si>
  <si>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</si>
  <si>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</si>
  <si>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</si>
  <si>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</si>
  <si>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</si>
  <si>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</si>
  <si>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</si>
  <si>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</si>
  <si>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</si>
  <si>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</si>
  <si>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</si>
  <si>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</si>
  <si>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</si>
  <si>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</si>
  <si>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</si>
  <si>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</si>
  <si>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</si>
  <si>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</si>
  <si>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</si>
  <si>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</si>
  <si>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</si>
  <si>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</si>
  <si>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</si>
  <si>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</si>
  <si>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</si>
  <si>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</si>
  <si>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</si>
  <si>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</si>
  <si>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</si>
  <si>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</si>
  <si>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</si>
  <si>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</si>
  <si>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</si>
  <si>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</si>
  <si>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</si>
  <si>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</si>
  <si>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</si>
  <si>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</si>
  <si>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</si>
  <si>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</si>
  <si>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</si>
  <si>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</si>
  <si>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</si>
  <si>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</si>
  <si>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</si>
  <si>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</si>
  <si>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</si>
  <si>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</si>
  <si>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</si>
  <si>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</si>
  <si>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</si>
  <si>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</si>
  <si>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</si>
  <si>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</si>
  <si>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</si>
  <si>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</si>
  <si>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</si>
  <si>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</si>
  <si>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</si>
  <si>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</si>
  <si>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</si>
  <si>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</si>
  <si>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</si>
  <si>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</si>
  <si>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</si>
  <si>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</si>
  <si>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</si>
  <si>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</si>
  <si>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</si>
  <si>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</si>
  <si>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</si>
  <si>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</si>
  <si>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</si>
  <si>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</si>
  <si>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</si>
  <si>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</si>
  <si>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</si>
  <si>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</si>
  <si>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</si>
  <si>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</si>
  <si>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</si>
  <si>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</si>
  <si>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</si>
  <si>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</si>
  <si>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</si>
  <si>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</si>
  <si>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</si>
  <si>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</si>
  <si>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</si>
  <si>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</si>
  <si>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</si>
  <si>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</si>
  <si>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</si>
  <si>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</si>
  <si>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</si>
  <si>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</si>
  <si>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</si>
  <si>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</si>
  <si>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</si>
  <si>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</si>
  <si>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</si>
  <si>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</si>
  <si>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</si>
  <si>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</si>
  <si>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</si>
  <si>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</si>
  <si>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</si>
  <si>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</si>
  <si>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</si>
  <si>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</si>
  <si>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</si>
  <si>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</si>
  <si>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</si>
  <si>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</si>
  <si>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</si>
  <si>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</si>
  <si>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</si>
  <si>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</si>
  <si>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</si>
  <si>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</si>
  <si>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</si>
  <si>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</si>
  <si>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</si>
  <si>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</si>
  <si>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</si>
  <si>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</si>
  <si>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</si>
  <si>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</si>
  <si>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</si>
  <si>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</si>
  <si>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</si>
  <si>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</si>
  <si>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</si>
  <si>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</si>
  <si>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</si>
  <si>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</si>
  <si>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</si>
  <si>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</si>
  <si>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</si>
  <si>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</si>
  <si>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</si>
  <si>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</si>
  <si>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</si>
  <si>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</si>
  <si>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</si>
  <si>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</si>
  <si>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</si>
  <si>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</si>
  <si>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</si>
  <si>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</si>
  <si>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</si>
  <si>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</si>
  <si>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</si>
  <si>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</si>
  <si>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</si>
  <si>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</si>
  <si>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</si>
  <si>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</si>
  <si>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</si>
  <si>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</si>
  <si>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</si>
  <si>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</si>
  <si>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</si>
  <si>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</si>
  <si>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</si>
  <si>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</si>
  <si>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</si>
  <si>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</si>
  <si>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</si>
  <si>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</si>
  <si>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</si>
  <si>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</si>
  <si>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</si>
  <si>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</si>
  <si>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</si>
  <si>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</si>
  <si>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</si>
  <si>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</si>
  <si>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</si>
  <si>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</si>
  <si>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</si>
  <si>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</si>
  <si>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</si>
  <si>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</si>
  <si>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</si>
  <si>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</si>
  <si>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</si>
  <si>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</si>
  <si>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</si>
  <si>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</si>
  <si>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</si>
  <si>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</si>
  <si>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</si>
  <si>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</si>
  <si>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</si>
  <si>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</si>
  <si>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</si>
  <si>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</si>
  <si>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</si>
  <si>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</si>
  <si>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</si>
  <si>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</si>
  <si>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</si>
  <si>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</si>
  <si>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</si>
  <si>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</si>
  <si>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</si>
  <si>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</si>
  <si>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</si>
  <si>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</si>
  <si>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</si>
  <si>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</si>
  <si>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</si>
  <si>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</si>
  <si>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</si>
  <si>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</si>
  <si>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</si>
  <si>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</si>
  <si>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</si>
  <si>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</si>
  <si>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</si>
  <si>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</si>
  <si>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</si>
  <si>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</si>
  <si>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</si>
  <si>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</si>
  <si>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</si>
  <si>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</si>
  <si>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</si>
  <si>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</si>
  <si>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</si>
  <si>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</si>
  <si>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</si>
  <si>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</si>
  <si>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2021</t>
  </si>
  <si>
    <t>Al 31 de Marzo de 2022 y al 31 de Diciembre de 2021</t>
  </si>
  <si>
    <t>31 de Marzo de 2022</t>
  </si>
  <si>
    <t>Del 1 de Enero al 31 de Marzo de 2022 (b)</t>
  </si>
  <si>
    <t>Saldo al 31 de Marzo de 2022(d)</t>
  </si>
  <si>
    <t>Del 1 de Enero al 31 de Marzo de 2022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</si>
  <si>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</si>
  <si>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</si>
  <si>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</si>
  <si>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del 01 de Enero al 31 de Marzo de 2022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</si>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</sst>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0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1" fillId="0" borderId="0"/>
    <xf numFmtId="164" fontId="16" fillId="0" borderId="0"/>
    <xf numFmtId="0" fontId="16" fillId="0" borderId="0"/>
    <xf numFmtId="43" fontId="11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</cellStyleXfs>
  <cellXfs count="524">
    <xf numFmtId="0" fontId="0" fillId="0" borderId="0" xfId="0"/>
    <xf numFmtId="0" fontId="12" fillId="0" borderId="0" xfId="0" applyFont="1"/>
    <xf numFmtId="4" fontId="12" fillId="0" borderId="0" xfId="0" applyNumberFormat="1" applyFont="1"/>
    <xf numFmtId="0" fontId="12" fillId="0" borderId="0" xfId="0" applyFont="1" applyBorder="1"/>
    <xf numFmtId="4" fontId="12" fillId="0" borderId="0" xfId="0" applyNumberFormat="1" applyFont="1" applyFill="1" applyBorder="1"/>
    <xf numFmtId="0" fontId="15" fillId="2" borderId="0" xfId="1" applyFont="1" applyFill="1" applyBorder="1" applyAlignment="1">
      <alignment horizontal="right"/>
    </xf>
    <xf numFmtId="0" fontId="15" fillId="2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0" xfId="0" applyFont="1" applyFill="1"/>
    <xf numFmtId="0" fontId="13" fillId="0" borderId="0" xfId="0" applyFont="1" applyFill="1"/>
    <xf numFmtId="0" fontId="13" fillId="2" borderId="2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/>
    <xf numFmtId="3" fontId="12" fillId="0" borderId="5" xfId="0" applyNumberFormat="1" applyFont="1" applyBorder="1"/>
    <xf numFmtId="4" fontId="12" fillId="0" borderId="5" xfId="0" applyNumberFormat="1" applyFont="1" applyBorder="1"/>
    <xf numFmtId="0" fontId="12" fillId="0" borderId="7" xfId="0" applyFont="1" applyBorder="1"/>
    <xf numFmtId="0" fontId="12" fillId="2" borderId="9" xfId="0" applyFont="1" applyFill="1" applyBorder="1"/>
    <xf numFmtId="0" fontId="12" fillId="0" borderId="11" xfId="0" applyFont="1" applyFill="1" applyBorder="1"/>
    <xf numFmtId="0" fontId="12" fillId="0" borderId="10" xfId="0" applyFont="1" applyBorder="1"/>
    <xf numFmtId="4" fontId="12" fillId="2" borderId="9" xfId="0" applyNumberFormat="1" applyFont="1" applyFill="1" applyBorder="1"/>
    <xf numFmtId="4" fontId="12" fillId="0" borderId="10" xfId="0" applyNumberFormat="1" applyFont="1" applyBorder="1"/>
    <xf numFmtId="0" fontId="12" fillId="2" borderId="1" xfId="0" applyFont="1" applyFill="1" applyBorder="1"/>
    <xf numFmtId="0" fontId="12" fillId="0" borderId="4" xfId="0" applyFont="1" applyFill="1" applyBorder="1"/>
    <xf numFmtId="4" fontId="12" fillId="0" borderId="4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" fontId="12" fillId="0" borderId="10" xfId="0" applyNumberFormat="1" applyFont="1" applyFill="1" applyBorder="1"/>
    <xf numFmtId="49" fontId="12" fillId="0" borderId="0" xfId="0" applyNumberFormat="1" applyFont="1"/>
    <xf numFmtId="49" fontId="12" fillId="0" borderId="0" xfId="0" applyNumberFormat="1" applyFont="1" applyFill="1"/>
    <xf numFmtId="49" fontId="13" fillId="0" borderId="0" xfId="0" applyNumberFormat="1" applyFont="1" applyFill="1"/>
    <xf numFmtId="3" fontId="12" fillId="0" borderId="11" xfId="0" applyNumberFormat="1" applyFont="1" applyFill="1" applyBorder="1"/>
    <xf numFmtId="3" fontId="12" fillId="0" borderId="11" xfId="0" applyNumberFormat="1" applyFont="1" applyBorder="1"/>
    <xf numFmtId="0" fontId="10" fillId="0" borderId="0" xfId="6"/>
    <xf numFmtId="0" fontId="10" fillId="0" borderId="0" xfId="6" applyFill="1"/>
    <xf numFmtId="0" fontId="21" fillId="0" borderId="4" xfId="5" applyFont="1" applyFill="1" applyBorder="1" applyAlignment="1">
      <alignment horizontal="left" vertical="center"/>
    </xf>
    <xf numFmtId="0" fontId="17" fillId="0" borderId="5" xfId="5" applyFont="1" applyFill="1" applyBorder="1" applyAlignment="1">
      <alignment horizontal="center" vertical="center"/>
    </xf>
    <xf numFmtId="4" fontId="21" fillId="0" borderId="9" xfId="5" applyNumberFormat="1" applyFont="1" applyFill="1" applyBorder="1" applyAlignment="1">
      <alignment horizontal="right" vertical="center"/>
    </xf>
    <xf numFmtId="0" fontId="18" fillId="0" borderId="0" xfId="6" applyFont="1"/>
    <xf numFmtId="0" fontId="18" fillId="0" borderId="1" xfId="6" applyFont="1" applyFill="1" applyBorder="1"/>
    <xf numFmtId="0" fontId="18" fillId="0" borderId="3" xfId="6" applyFont="1" applyFill="1" applyBorder="1"/>
    <xf numFmtId="4" fontId="18" fillId="0" borderId="9" xfId="6" applyNumberFormat="1" applyFont="1" applyFill="1" applyBorder="1"/>
    <xf numFmtId="0" fontId="10" fillId="0" borderId="5" xfId="6" applyFont="1" applyBorder="1"/>
    <xf numFmtId="0" fontId="18" fillId="0" borderId="4" xfId="6" applyFont="1" applyFill="1" applyBorder="1"/>
    <xf numFmtId="0" fontId="18" fillId="0" borderId="5" xfId="6" applyFont="1" applyFill="1" applyBorder="1"/>
    <xf numFmtId="0" fontId="20" fillId="0" borderId="5" xfId="6" applyFont="1" applyBorder="1"/>
    <xf numFmtId="0" fontId="10" fillId="0" borderId="8" xfId="6" applyFont="1" applyBorder="1"/>
    <xf numFmtId="0" fontId="18" fillId="0" borderId="15" xfId="6" applyFont="1" applyBorder="1"/>
    <xf numFmtId="0" fontId="18" fillId="0" borderId="13" xfId="6" applyFont="1" applyBorder="1"/>
    <xf numFmtId="4" fontId="18" fillId="0" borderId="14" xfId="6" applyNumberFormat="1" applyFont="1" applyBorder="1"/>
    <xf numFmtId="0" fontId="10" fillId="0" borderId="4" xfId="6" applyFont="1" applyBorder="1" applyAlignment="1">
      <alignment horizontal="right"/>
    </xf>
    <xf numFmtId="0" fontId="10" fillId="0" borderId="6" xfId="6" applyFont="1" applyBorder="1" applyAlignment="1">
      <alignment horizontal="right"/>
    </xf>
    <xf numFmtId="0" fontId="10" fillId="0" borderId="0" xfId="6"/>
    <xf numFmtId="166" fontId="10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9" fillId="0" borderId="11" xfId="0" applyNumberFormat="1" applyFont="1" applyFill="1" applyBorder="1" applyAlignment="1" applyProtection="1">
      <alignment horizontal="right" wrapText="1"/>
      <protection locked="0"/>
    </xf>
    <xf numFmtId="3" fontId="25" fillId="0" borderId="11" xfId="8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3" fontId="29" fillId="0" borderId="10" xfId="0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9" fillId="0" borderId="11" xfId="6" applyNumberFormat="1" applyFont="1" applyBorder="1"/>
    <xf numFmtId="4" fontId="9" fillId="0" borderId="10" xfId="6" applyNumberFormat="1" applyFont="1" applyBorder="1"/>
    <xf numFmtId="3" fontId="29" fillId="0" borderId="11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</xf>
    <xf numFmtId="0" fontId="18" fillId="2" borderId="9" xfId="6" applyFont="1" applyFill="1" applyBorder="1"/>
    <xf numFmtId="0" fontId="10" fillId="2" borderId="11" xfId="6" applyFill="1" applyBorder="1" applyAlignment="1">
      <alignment horizontal="left" indent="2"/>
    </xf>
    <xf numFmtId="0" fontId="10" fillId="2" borderId="11" xfId="6" applyFill="1" applyBorder="1" applyAlignment="1">
      <alignment horizontal="left" indent="4"/>
    </xf>
    <xf numFmtId="0" fontId="18" fillId="2" borderId="11" xfId="6" applyFont="1" applyFill="1" applyBorder="1" applyAlignment="1">
      <alignment horizontal="left"/>
    </xf>
    <xf numFmtId="0" fontId="10" fillId="2" borderId="11" xfId="6" applyFill="1" applyBorder="1" applyAlignment="1">
      <alignment horizontal="left" wrapText="1" indent="4"/>
    </xf>
    <xf numFmtId="0" fontId="18" fillId="2" borderId="11" xfId="6" applyFont="1" applyFill="1" applyBorder="1" applyAlignment="1">
      <alignment horizontal="left" indent="2"/>
    </xf>
    <xf numFmtId="0" fontId="18" fillId="2" borderId="10" xfId="6" applyFont="1" applyFill="1" applyBorder="1" applyAlignment="1">
      <alignment horizontal="left"/>
    </xf>
    <xf numFmtId="0" fontId="10" fillId="2" borderId="9" xfId="6" applyFill="1" applyBorder="1"/>
    <xf numFmtId="3" fontId="10" fillId="2" borderId="11" xfId="7" applyNumberFormat="1" applyFont="1" applyFill="1" applyBorder="1"/>
    <xf numFmtId="3" fontId="18" fillId="2" borderId="11" xfId="7" applyNumberFormat="1" applyFont="1" applyFill="1" applyBorder="1"/>
    <xf numFmtId="3" fontId="9" fillId="2" borderId="11" xfId="7" applyNumberFormat="1" applyFont="1" applyFill="1" applyBorder="1"/>
    <xf numFmtId="3" fontId="18" fillId="2" borderId="10" xfId="7" applyNumberFormat="1" applyFont="1" applyFill="1" applyBorder="1"/>
    <xf numFmtId="0" fontId="12" fillId="4" borderId="6" xfId="0" applyFont="1" applyFill="1" applyBorder="1"/>
    <xf numFmtId="0" fontId="15" fillId="4" borderId="7" xfId="1" applyFont="1" applyFill="1" applyBorder="1" applyAlignment="1">
      <alignment horizontal="right"/>
    </xf>
    <xf numFmtId="49" fontId="12" fillId="0" borderId="1" xfId="0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/>
    <xf numFmtId="0" fontId="31" fillId="0" borderId="0" xfId="6" applyFont="1"/>
    <xf numFmtId="0" fontId="32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vertical="center" wrapText="1"/>
    </xf>
    <xf numFmtId="0" fontId="31" fillId="0" borderId="16" xfId="6" applyFont="1" applyBorder="1" applyAlignment="1">
      <alignment horizontal="left" vertical="center" wrapText="1" indent="2"/>
    </xf>
    <xf numFmtId="4" fontId="31" fillId="0" borderId="28" xfId="6" applyNumberFormat="1" applyFont="1" applyBorder="1" applyAlignment="1">
      <alignment horizontal="right" vertical="center" wrapText="1"/>
    </xf>
    <xf numFmtId="4" fontId="22" fillId="0" borderId="28" xfId="10" applyNumberFormat="1" applyFont="1" applyFill="1" applyBorder="1" applyAlignment="1">
      <alignment horizontal="right" vertical="center"/>
    </xf>
    <xf numFmtId="4" fontId="31" fillId="0" borderId="28" xfId="6" applyNumberFormat="1" applyFont="1" applyBorder="1" applyAlignment="1">
      <alignment horizontal="right"/>
    </xf>
    <xf numFmtId="0" fontId="31" fillId="0" borderId="16" xfId="6" applyFont="1" applyBorder="1" applyAlignment="1">
      <alignment horizontal="left" vertical="center" wrapText="1" indent="4"/>
    </xf>
    <xf numFmtId="0" fontId="31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horizontal="right" vertical="center" wrapText="1"/>
    </xf>
    <xf numFmtId="4" fontId="32" fillId="0" borderId="23" xfId="6" applyNumberFormat="1" applyFont="1" applyBorder="1" applyAlignment="1">
      <alignment horizontal="right" vertical="center" wrapText="1"/>
    </xf>
    <xf numFmtId="4" fontId="31" fillId="0" borderId="28" xfId="6" applyNumberFormat="1" applyFont="1" applyFill="1" applyBorder="1" applyAlignment="1">
      <alignment horizontal="right" vertical="center" wrapText="1"/>
    </xf>
    <xf numFmtId="0" fontId="31" fillId="0" borderId="16" xfId="6" applyFont="1" applyBorder="1" applyAlignment="1">
      <alignment horizontal="left" vertical="center" wrapText="1" indent="5"/>
    </xf>
    <xf numFmtId="0" fontId="32" fillId="0" borderId="18" xfId="6" applyFont="1" applyBorder="1" applyAlignment="1">
      <alignment horizontal="left" vertical="center" wrapText="1"/>
    </xf>
    <xf numFmtId="4" fontId="32" fillId="0" borderId="30" xfId="6" applyNumberFormat="1" applyFont="1" applyBorder="1" applyAlignment="1">
      <alignment vertical="center" wrapText="1"/>
    </xf>
    <xf numFmtId="0" fontId="18" fillId="0" borderId="16" xfId="6" applyFont="1" applyBorder="1" applyAlignment="1">
      <alignment horizontal="left" vertical="center" wrapText="1"/>
    </xf>
    <xf numFmtId="0" fontId="8" fillId="2" borderId="0" xfId="11" applyFont="1" applyFill="1" applyBorder="1"/>
    <xf numFmtId="4" fontId="8" fillId="0" borderId="28" xfId="11" applyNumberFormat="1" applyFont="1" applyFill="1" applyBorder="1" applyAlignment="1">
      <alignment horizontal="right" vertical="center"/>
    </xf>
    <xf numFmtId="0" fontId="8" fillId="0" borderId="0" xfId="12" applyFont="1" applyAlignment="1">
      <alignment vertical="center"/>
    </xf>
    <xf numFmtId="0" fontId="8" fillId="0" borderId="0" xfId="11" applyFont="1" applyAlignment="1">
      <alignment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12" applyFont="1" applyFill="1" applyBorder="1" applyAlignment="1">
      <alignment horizontal="left" vertical="center" indent="2"/>
    </xf>
    <xf numFmtId="4" fontId="18" fillId="0" borderId="28" xfId="11" applyNumberFormat="1" applyFont="1" applyFill="1" applyBorder="1" applyAlignment="1">
      <alignment horizontal="right" vertical="center"/>
    </xf>
    <xf numFmtId="0" fontId="18" fillId="0" borderId="0" xfId="12" applyFont="1" applyAlignment="1">
      <alignment vertical="center"/>
    </xf>
    <xf numFmtId="0" fontId="18" fillId="0" borderId="0" xfId="11" applyFont="1" applyAlignment="1">
      <alignment vertical="center"/>
    </xf>
    <xf numFmtId="4" fontId="8" fillId="0" borderId="28" xfId="10" applyNumberFormat="1" applyFont="1" applyFill="1" applyBorder="1" applyAlignment="1">
      <alignment horizontal="right" vertical="center"/>
    </xf>
    <xf numFmtId="0" fontId="8" fillId="0" borderId="0" xfId="10" applyFont="1" applyAlignment="1">
      <alignment vertical="center"/>
    </xf>
    <xf numFmtId="4" fontId="18" fillId="0" borderId="18" xfId="10" applyNumberFormat="1" applyFont="1" applyBorder="1"/>
    <xf numFmtId="4" fontId="18" fillId="0" borderId="30" xfId="10" applyNumberFormat="1" applyFont="1" applyBorder="1"/>
    <xf numFmtId="0" fontId="8" fillId="0" borderId="0" xfId="10" applyFont="1"/>
    <xf numFmtId="4" fontId="8" fillId="0" borderId="0" xfId="10" applyNumberFormat="1" applyFont="1"/>
    <xf numFmtId="0" fontId="0" fillId="0" borderId="0" xfId="0" applyFill="1" applyBorder="1"/>
    <xf numFmtId="4" fontId="8" fillId="0" borderId="23" xfId="6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28" xfId="6" applyNumberFormat="1" applyFont="1" applyBorder="1" applyAlignment="1">
      <alignment horizontal="right" vertical="center"/>
    </xf>
    <xf numFmtId="3" fontId="18" fillId="0" borderId="23" xfId="6" applyNumberFormat="1" applyFont="1" applyBorder="1" applyAlignment="1">
      <alignment horizontal="right" vertical="center"/>
    </xf>
    <xf numFmtId="0" fontId="8" fillId="0" borderId="16" xfId="6" applyFont="1" applyBorder="1" applyAlignment="1">
      <alignment horizontal="left" vertical="center"/>
    </xf>
    <xf numFmtId="0" fontId="8" fillId="0" borderId="23" xfId="6" applyFont="1" applyBorder="1" applyAlignment="1">
      <alignment horizontal="left" vertical="center"/>
    </xf>
    <xf numFmtId="3" fontId="8" fillId="0" borderId="28" xfId="6" applyNumberFormat="1" applyFont="1" applyBorder="1" applyAlignment="1">
      <alignment horizontal="right" vertical="center"/>
    </xf>
    <xf numFmtId="3" fontId="8" fillId="0" borderId="23" xfId="6" applyNumberFormat="1" applyFont="1" applyBorder="1" applyAlignment="1">
      <alignment horizontal="right" vertical="center"/>
    </xf>
    <xf numFmtId="0" fontId="18" fillId="0" borderId="16" xfId="6" applyFont="1" applyBorder="1" applyAlignment="1">
      <alignment vertical="center"/>
    </xf>
    <xf numFmtId="0" fontId="18" fillId="0" borderId="23" xfId="6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6" applyFont="1" applyBorder="1" applyAlignment="1">
      <alignment vertical="center"/>
    </xf>
    <xf numFmtId="0" fontId="18" fillId="0" borderId="20" xfId="6" applyFont="1" applyBorder="1" applyAlignment="1">
      <alignment vertical="center"/>
    </xf>
    <xf numFmtId="0" fontId="10" fillId="0" borderId="0" xfId="6" applyFill="1" applyBorder="1"/>
    <xf numFmtId="165" fontId="21" fillId="0" borderId="0" xfId="5" applyNumberFormat="1" applyFont="1" applyFill="1" applyBorder="1" applyAlignment="1" applyProtection="1">
      <alignment horizontal="center"/>
    </xf>
    <xf numFmtId="0" fontId="18" fillId="0" borderId="0" xfId="6" applyFont="1" applyFill="1" applyBorder="1" applyAlignment="1">
      <alignment horizontal="center"/>
    </xf>
    <xf numFmtId="0" fontId="20" fillId="0" borderId="0" xfId="11" applyFont="1"/>
    <xf numFmtId="0" fontId="20" fillId="0" borderId="0" xfId="11" applyFont="1" applyBorder="1"/>
    <xf numFmtId="0" fontId="33" fillId="0" borderId="0" xfId="0" applyFont="1"/>
    <xf numFmtId="0" fontId="33" fillId="0" borderId="0" xfId="0" applyFont="1" applyFill="1" applyBorder="1"/>
    <xf numFmtId="0" fontId="21" fillId="0" borderId="0" xfId="6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33" fillId="0" borderId="0" xfId="0" applyFont="1" applyFill="1"/>
    <xf numFmtId="0" fontId="35" fillId="0" borderId="0" xfId="6" applyFont="1"/>
    <xf numFmtId="0" fontId="34" fillId="0" borderId="0" xfId="6" applyFont="1" applyFill="1" applyBorder="1" applyAlignment="1">
      <alignment horizontal="center" vertical="center"/>
    </xf>
    <xf numFmtId="0" fontId="35" fillId="0" borderId="0" xfId="6" applyFont="1" applyFill="1" applyBorder="1"/>
    <xf numFmtId="4" fontId="18" fillId="0" borderId="11" xfId="6" applyNumberFormat="1" applyFont="1" applyBorder="1"/>
    <xf numFmtId="0" fontId="30" fillId="0" borderId="0" xfId="0" applyFont="1" applyAlignment="1">
      <alignment vertical="center"/>
    </xf>
    <xf numFmtId="0" fontId="12" fillId="6" borderId="1" xfId="0" applyFont="1" applyFill="1" applyBorder="1"/>
    <xf numFmtId="0" fontId="14" fillId="6" borderId="2" xfId="1" applyFont="1" applyFill="1" applyBorder="1" applyAlignment="1"/>
    <xf numFmtId="0" fontId="12" fillId="6" borderId="4" xfId="0" applyFont="1" applyFill="1" applyBorder="1"/>
    <xf numFmtId="3" fontId="15" fillId="6" borderId="0" xfId="1" applyNumberFormat="1" applyFont="1" applyFill="1" applyBorder="1" applyAlignment="1"/>
    <xf numFmtId="0" fontId="15" fillId="6" borderId="0" xfId="1" applyFont="1" applyFill="1" applyBorder="1" applyAlignment="1"/>
    <xf numFmtId="0" fontId="12" fillId="6" borderId="6" xfId="0" applyFont="1" applyFill="1" applyBorder="1"/>
    <xf numFmtId="0" fontId="15" fillId="6" borderId="7" xfId="2" applyNumberFormat="1" applyFont="1" applyFill="1" applyBorder="1" applyAlignment="1">
      <alignment vertical="center"/>
    </xf>
    <xf numFmtId="0" fontId="13" fillId="6" borderId="6" xfId="0" applyFont="1" applyFill="1" applyBorder="1"/>
    <xf numFmtId="3" fontId="24" fillId="6" borderId="14" xfId="0" applyNumberFormat="1" applyFont="1" applyFill="1" applyBorder="1" applyAlignment="1" applyProtection="1">
      <alignment horizontal="center" vertical="center" wrapText="1"/>
    </xf>
    <xf numFmtId="3" fontId="24" fillId="6" borderId="14" xfId="0" applyNumberFormat="1" applyFont="1" applyFill="1" applyBorder="1" applyAlignment="1" applyProtection="1">
      <alignment horizontal="center" wrapText="1"/>
    </xf>
    <xf numFmtId="3" fontId="29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/>
      <protection locked="0"/>
    </xf>
    <xf numFmtId="3" fontId="18" fillId="4" borderId="11" xfId="7" applyNumberFormat="1" applyFont="1" applyFill="1" applyBorder="1"/>
    <xf numFmtId="0" fontId="18" fillId="7" borderId="14" xfId="6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 wrapText="1"/>
    </xf>
    <xf numFmtId="0" fontId="21" fillId="7" borderId="14" xfId="5" applyFont="1" applyFill="1" applyBorder="1" applyAlignment="1">
      <alignment horizontal="center" vertical="center"/>
    </xf>
    <xf numFmtId="0" fontId="21" fillId="7" borderId="14" xfId="5" applyFont="1" applyFill="1" applyBorder="1" applyAlignment="1">
      <alignment horizontal="center" vertical="center" wrapText="1"/>
    </xf>
    <xf numFmtId="0" fontId="21" fillId="7" borderId="10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 wrapText="1"/>
    </xf>
    <xf numFmtId="0" fontId="21" fillId="7" borderId="26" xfId="6" applyFont="1" applyFill="1" applyBorder="1" applyAlignment="1">
      <alignment horizontal="center" vertical="center" wrapText="1"/>
    </xf>
    <xf numFmtId="0" fontId="36" fillId="7" borderId="30" xfId="5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 wrapText="1"/>
    </xf>
    <xf numFmtId="0" fontId="32" fillId="0" borderId="0" xfId="6" applyFont="1"/>
    <xf numFmtId="0" fontId="6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2" fillId="0" borderId="11" xfId="0" applyNumberFormat="1" applyFont="1" applyFill="1" applyBorder="1"/>
    <xf numFmtId="4" fontId="13" fillId="0" borderId="11" xfId="0" applyNumberFormat="1" applyFont="1" applyFill="1" applyBorder="1"/>
    <xf numFmtId="4" fontId="12" fillId="0" borderId="11" xfId="0" applyNumberFormat="1" applyFont="1" applyBorder="1"/>
    <xf numFmtId="4" fontId="0" fillId="0" borderId="11" xfId="0" applyNumberFormat="1" applyBorder="1" applyAlignment="1"/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4" fillId="6" borderId="23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3" fontId="24" fillId="4" borderId="23" xfId="0" applyNumberFormat="1" applyFont="1" applyFill="1" applyBorder="1" applyAlignment="1">
      <alignment wrapText="1"/>
    </xf>
    <xf numFmtId="3" fontId="24" fillId="4" borderId="23" xfId="0" applyNumberFormat="1" applyFont="1" applyFill="1" applyBorder="1" applyAlignment="1">
      <alignment horizontal="right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3" fontId="24" fillId="0" borderId="23" xfId="0" applyNumberFormat="1" applyFont="1" applyFill="1" applyBorder="1" applyAlignment="1">
      <alignment wrapText="1"/>
    </xf>
    <xf numFmtId="0" fontId="26" fillId="0" borderId="16" xfId="0" applyFont="1" applyBorder="1" applyAlignment="1">
      <alignment horizontal="justify" vertical="center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23" xfId="0" applyFont="1" applyFill="1" applyBorder="1" applyAlignment="1">
      <alignment horizontal="justify" vertical="center" wrapText="1"/>
    </xf>
    <xf numFmtId="3" fontId="4" fillId="0" borderId="28" xfId="0" applyNumberFormat="1" applyFont="1" applyFill="1" applyBorder="1" applyAlignment="1"/>
    <xf numFmtId="3" fontId="24" fillId="0" borderId="28" xfId="0" applyNumberFormat="1" applyFont="1" applyFill="1" applyBorder="1" applyAlignment="1">
      <alignment wrapText="1"/>
    </xf>
    <xf numFmtId="3" fontId="24" fillId="0" borderId="23" xfId="0" applyNumberFormat="1" applyFont="1" applyFill="1" applyBorder="1" applyAlignment="1">
      <alignment horizontal="right" wrapText="1"/>
    </xf>
    <xf numFmtId="43" fontId="4" fillId="0" borderId="0" xfId="9" applyFont="1"/>
    <xf numFmtId="167" fontId="39" fillId="0" borderId="23" xfId="9" applyNumberFormat="1" applyFont="1" applyFill="1" applyBorder="1" applyAlignment="1">
      <alignment horizontal="center"/>
    </xf>
    <xf numFmtId="3" fontId="24" fillId="0" borderId="23" xfId="9" applyNumberFormat="1" applyFont="1" applyBorder="1" applyAlignment="1">
      <alignment wrapText="1"/>
    </xf>
    <xf numFmtId="3" fontId="4" fillId="0" borderId="28" xfId="0" applyNumberFormat="1" applyFont="1" applyBorder="1" applyAlignment="1"/>
    <xf numFmtId="3" fontId="24" fillId="0" borderId="28" xfId="9" applyNumberFormat="1" applyFont="1" applyBorder="1" applyAlignment="1">
      <alignment wrapText="1"/>
    </xf>
    <xf numFmtId="167" fontId="39" fillId="0" borderId="0" xfId="9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justify" vertical="center" wrapText="1"/>
    </xf>
    <xf numFmtId="3" fontId="26" fillId="0" borderId="28" xfId="0" applyNumberFormat="1" applyFont="1" applyBorder="1" applyAlignment="1">
      <alignment wrapText="1"/>
    </xf>
    <xf numFmtId="3" fontId="26" fillId="0" borderId="28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26" fillId="0" borderId="28" xfId="0" applyNumberFormat="1" applyFont="1" applyFill="1" applyBorder="1" applyAlignment="1">
      <alignment horizontal="right" wrapText="1"/>
    </xf>
    <xf numFmtId="3" fontId="26" fillId="0" borderId="28" xfId="0" applyNumberFormat="1" applyFont="1" applyBorder="1" applyAlignment="1">
      <alignment horizontal="right" wrapText="1"/>
    </xf>
    <xf numFmtId="4" fontId="4" fillId="0" borderId="0" xfId="0" applyNumberFormat="1" applyFont="1"/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3" fontId="40" fillId="0" borderId="23" xfId="0" applyNumberFormat="1" applyFont="1" applyBorder="1" applyAlignment="1">
      <alignment wrapText="1"/>
    </xf>
    <xf numFmtId="3" fontId="40" fillId="0" borderId="23" xfId="0" applyNumberFormat="1" applyFont="1" applyBorder="1" applyAlignment="1">
      <alignment horizontal="right" wrapText="1"/>
    </xf>
    <xf numFmtId="3" fontId="40" fillId="0" borderId="26" xfId="0" applyNumberFormat="1" applyFont="1" applyBorder="1" applyAlignment="1">
      <alignment wrapText="1"/>
    </xf>
    <xf numFmtId="3" fontId="40" fillId="0" borderId="26" xfId="0" applyNumberFormat="1" applyFont="1" applyBorder="1" applyAlignment="1">
      <alignment horizontal="right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43" fontId="24" fillId="0" borderId="28" xfId="9" applyFont="1" applyBorder="1" applyAlignment="1">
      <alignment horizontal="justify" vertical="center" wrapText="1"/>
    </xf>
    <xf numFmtId="0" fontId="24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26" fillId="0" borderId="27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24" fillId="4" borderId="23" xfId="0" applyNumberFormat="1" applyFont="1" applyFill="1" applyBorder="1" applyAlignment="1">
      <alignment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horizontal="left" vertical="center" wrapText="1" indent="1"/>
    </xf>
    <xf numFmtId="14" fontId="26" fillId="0" borderId="2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43" fontId="24" fillId="0" borderId="23" xfId="0" applyNumberFormat="1" applyFont="1" applyBorder="1" applyAlignment="1">
      <alignment horizontal="justify" vertical="center" wrapText="1"/>
    </xf>
    <xf numFmtId="168" fontId="24" fillId="0" borderId="23" xfId="0" applyNumberFormat="1" applyFont="1" applyBorder="1" applyAlignment="1">
      <alignment horizontal="justify" vertical="center" wrapText="1"/>
    </xf>
    <xf numFmtId="0" fontId="26" fillId="0" borderId="28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justify" vertical="center" wrapText="1"/>
    </xf>
    <xf numFmtId="43" fontId="4" fillId="2" borderId="11" xfId="9" applyFont="1" applyFill="1" applyBorder="1"/>
    <xf numFmtId="4" fontId="10" fillId="2" borderId="11" xfId="7" applyNumberFormat="1" applyFont="1" applyFill="1" applyBorder="1"/>
    <xf numFmtId="4" fontId="18" fillId="2" borderId="11" xfId="7" applyNumberFormat="1" applyFont="1" applyFill="1" applyBorder="1"/>
    <xf numFmtId="43" fontId="4" fillId="2" borderId="11" xfId="9" applyNumberFormat="1" applyFont="1" applyFill="1" applyBorder="1"/>
    <xf numFmtId="43" fontId="10" fillId="2" borderId="11" xfId="7" applyNumberFormat="1" applyFont="1" applyFill="1" applyBorder="1"/>
    <xf numFmtId="0" fontId="4" fillId="0" borderId="28" xfId="12" applyFont="1" applyFill="1" applyBorder="1" applyAlignment="1">
      <alignment horizontal="left" vertical="center" indent="2"/>
    </xf>
    <xf numFmtId="0" fontId="19" fillId="0" borderId="0" xfId="10" applyFont="1"/>
    <xf numFmtId="4" fontId="19" fillId="0" borderId="0" xfId="10" applyNumberFormat="1" applyFont="1"/>
    <xf numFmtId="43" fontId="19" fillId="0" borderId="0" xfId="9" applyFont="1"/>
    <xf numFmtId="2" fontId="18" fillId="0" borderId="28" xfId="6" applyNumberFormat="1" applyFont="1" applyBorder="1" applyAlignment="1">
      <alignment horizontal="right" vertical="center"/>
    </xf>
    <xf numFmtId="2" fontId="8" fillId="0" borderId="28" xfId="3" applyNumberFormat="1" applyFont="1" applyBorder="1" applyAlignment="1">
      <alignment horizontal="right"/>
    </xf>
    <xf numFmtId="2" fontId="8" fillId="0" borderId="28" xfId="6" applyNumberFormat="1" applyFont="1" applyBorder="1" applyAlignment="1">
      <alignment horizontal="right" vertical="center"/>
    </xf>
    <xf numFmtId="2" fontId="8" fillId="0" borderId="23" xfId="6" applyNumberFormat="1" applyFont="1" applyBorder="1" applyAlignment="1">
      <alignment horizontal="right" vertical="center"/>
    </xf>
    <xf numFmtId="2" fontId="8" fillId="0" borderId="11" xfId="3" applyNumberFormat="1" applyFont="1" applyBorder="1" applyAlignment="1">
      <alignment horizontal="right"/>
    </xf>
    <xf numFmtId="1" fontId="8" fillId="0" borderId="23" xfId="6" applyNumberFormat="1" applyFont="1" applyBorder="1" applyAlignment="1">
      <alignment horizontal="right" vertical="center"/>
    </xf>
    <xf numFmtId="43" fontId="18" fillId="0" borderId="23" xfId="6" applyNumberFormat="1" applyFont="1" applyBorder="1" applyAlignment="1">
      <alignment horizontal="right" vertical="center"/>
    </xf>
    <xf numFmtId="4" fontId="18" fillId="0" borderId="20" xfId="6" applyNumberFormat="1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 wrapText="1"/>
    </xf>
    <xf numFmtId="43" fontId="9" fillId="0" borderId="11" xfId="6" applyNumberFormat="1" applyFont="1" applyBorder="1"/>
    <xf numFmtId="0" fontId="45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4" fillId="6" borderId="37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6" fillId="0" borderId="38" xfId="0" applyFont="1" applyFill="1" applyBorder="1" applyAlignment="1" applyProtection="1">
      <alignment horizontal="left" vertical="center" wrapText="1" indent="2"/>
    </xf>
    <xf numFmtId="0" fontId="24" fillId="0" borderId="39" xfId="0" applyFont="1" applyFill="1" applyBorder="1" applyAlignment="1" applyProtection="1">
      <alignment vertical="center" wrapText="1"/>
    </xf>
    <xf numFmtId="0" fontId="26" fillId="0" borderId="38" xfId="0" applyFont="1" applyFill="1" applyBorder="1" applyAlignment="1" applyProtection="1">
      <alignment horizontal="left" vertical="center" wrapText="1" indent="1"/>
    </xf>
    <xf numFmtId="0" fontId="24" fillId="0" borderId="38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horizontal="left" vertical="center" indent="1"/>
    </xf>
    <xf numFmtId="0" fontId="24" fillId="0" borderId="39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3" fontId="29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8" fillId="0" borderId="28" xfId="9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/>
    </xf>
    <xf numFmtId="43" fontId="18" fillId="0" borderId="23" xfId="9" applyFont="1" applyBorder="1" applyAlignment="1">
      <alignment horizontal="right" vertical="center" wrapText="1"/>
    </xf>
    <xf numFmtId="43" fontId="8" fillId="0" borderId="28" xfId="9" applyFont="1" applyBorder="1" applyAlignment="1">
      <alignment horizontal="right"/>
    </xf>
    <xf numFmtId="43" fontId="18" fillId="0" borderId="23" xfId="9" applyFont="1" applyBorder="1" applyAlignment="1">
      <alignment horizontal="right" vertical="center"/>
    </xf>
    <xf numFmtId="43" fontId="8" fillId="0" borderId="23" xfId="9" applyFont="1" applyBorder="1" applyAlignment="1">
      <alignment horizontal="right" vertical="center"/>
    </xf>
    <xf numFmtId="43" fontId="18" fillId="0" borderId="20" xfId="9" applyFont="1" applyBorder="1" applyAlignment="1">
      <alignment horizontal="right" vertical="center"/>
    </xf>
    <xf numFmtId="43" fontId="10" fillId="2" borderId="11" xfId="9" applyFont="1" applyFill="1" applyBorder="1"/>
    <xf numFmtId="2" fontId="10" fillId="2" borderId="11" xfId="9" applyNumberFormat="1" applyFont="1" applyFill="1" applyBorder="1"/>
    <xf numFmtId="0" fontId="46" fillId="0" borderId="0" xfId="0" applyFont="1"/>
    <xf numFmtId="4" fontId="46" fillId="0" borderId="0" xfId="0" applyNumberFormat="1" applyFont="1"/>
    <xf numFmtId="43" fontId="10" fillId="2" borderId="11" xfId="9" applyFont="1" applyFill="1" applyBorder="1" applyAlignment="1">
      <alignment horizontal="right"/>
    </xf>
    <xf numFmtId="0" fontId="20" fillId="0" borderId="0" xfId="11" applyFont="1" applyFill="1"/>
    <xf numFmtId="4" fontId="8" fillId="0" borderId="0" xfId="11" applyNumberFormat="1" applyFont="1" applyFill="1" applyBorder="1"/>
    <xf numFmtId="0" fontId="8" fillId="0" borderId="0" xfId="11" applyFont="1" applyFill="1" applyBorder="1"/>
    <xf numFmtId="0" fontId="8" fillId="0" borderId="0" xfId="11" applyFont="1" applyFill="1" applyAlignment="1">
      <alignment vertical="center"/>
    </xf>
    <xf numFmtId="4" fontId="21" fillId="0" borderId="28" xfId="5" applyNumberFormat="1" applyFont="1" applyFill="1" applyBorder="1" applyAlignment="1">
      <alignment horizontal="right" vertical="center"/>
    </xf>
    <xf numFmtId="4" fontId="9" fillId="0" borderId="11" xfId="6" applyNumberFormat="1" applyFont="1" applyFill="1" applyBorder="1"/>
    <xf numFmtId="4" fontId="19" fillId="0" borderId="28" xfId="11" applyNumberFormat="1" applyFont="1" applyFill="1" applyBorder="1" applyAlignment="1">
      <alignment horizontal="right" vertical="center"/>
    </xf>
    <xf numFmtId="4" fontId="19" fillId="0" borderId="28" xfId="10" applyNumberFormat="1" applyFont="1" applyFill="1" applyBorder="1" applyAlignment="1">
      <alignment horizontal="right" vertical="center"/>
    </xf>
    <xf numFmtId="4" fontId="19" fillId="0" borderId="0" xfId="6" applyNumberFormat="1" applyFont="1"/>
    <xf numFmtId="3" fontId="46" fillId="0" borderId="0" xfId="0" applyNumberFormat="1" applyFont="1"/>
    <xf numFmtId="4" fontId="20" fillId="0" borderId="0" xfId="10" applyNumberFormat="1" applyFont="1"/>
    <xf numFmtId="43" fontId="46" fillId="0" borderId="0" xfId="9" applyFont="1"/>
    <xf numFmtId="0" fontId="19" fillId="0" borderId="0" xfId="11" applyFont="1"/>
    <xf numFmtId="0" fontId="19" fillId="0" borderId="0" xfId="11" applyFont="1" applyBorder="1"/>
    <xf numFmtId="0" fontId="19" fillId="0" borderId="0" xfId="11" applyFont="1" applyFill="1"/>
    <xf numFmtId="0" fontId="19" fillId="0" borderId="0" xfId="11" applyFont="1" applyFill="1" applyBorder="1"/>
    <xf numFmtId="4" fontId="19" fillId="0" borderId="0" xfId="11" applyNumberFormat="1" applyFont="1" applyFill="1" applyBorder="1"/>
    <xf numFmtId="0" fontId="19" fillId="0" borderId="0" xfId="11" applyFont="1" applyFill="1" applyAlignment="1">
      <alignment vertical="center"/>
    </xf>
    <xf numFmtId="0" fontId="19" fillId="0" borderId="0" xfId="11" applyFont="1" applyAlignment="1">
      <alignment vertical="center"/>
    </xf>
    <xf numFmtId="4" fontId="19" fillId="0" borderId="0" xfId="11" applyNumberFormat="1" applyFont="1" applyAlignment="1">
      <alignment vertical="center"/>
    </xf>
    <xf numFmtId="0" fontId="17" fillId="0" borderId="0" xfId="11" applyFont="1" applyAlignment="1">
      <alignment vertical="center"/>
    </xf>
    <xf numFmtId="0" fontId="19" fillId="0" borderId="0" xfId="10" applyFont="1" applyAlignment="1">
      <alignment vertical="center"/>
    </xf>
    <xf numFmtId="4" fontId="19" fillId="0" borderId="0" xfId="10" applyNumberFormat="1" applyFont="1" applyAlignment="1">
      <alignment vertical="center"/>
    </xf>
    <xf numFmtId="43" fontId="19" fillId="0" borderId="0" xfId="10" applyNumberFormat="1" applyFont="1"/>
    <xf numFmtId="4" fontId="47" fillId="0" borderId="0" xfId="6" applyNumberFormat="1" applyFont="1"/>
    <xf numFmtId="4" fontId="48" fillId="0" borderId="0" xfId="0" applyNumberFormat="1" applyFont="1"/>
    <xf numFmtId="0" fontId="43" fillId="6" borderId="2" xfId="1" applyFont="1" applyFill="1" applyBorder="1" applyAlignment="1">
      <alignment vertical="center"/>
    </xf>
    <xf numFmtId="0" fontId="43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4" fillId="6" borderId="43" xfId="0" applyNumberFormat="1" applyFont="1" applyFill="1" applyBorder="1" applyAlignment="1" applyProtection="1">
      <alignment horizontal="center" vertical="center" wrapText="1"/>
    </xf>
    <xf numFmtId="3" fontId="29" fillId="0" borderId="44" xfId="0" applyNumberFormat="1" applyFont="1" applyFill="1" applyBorder="1" applyAlignment="1" applyProtection="1">
      <alignment horizontal="right" wrapText="1"/>
      <protection locked="0"/>
    </xf>
    <xf numFmtId="3" fontId="25" fillId="0" borderId="44" xfId="8" applyNumberFormat="1" applyFont="1" applyFill="1" applyBorder="1" applyAlignment="1" applyProtection="1">
      <alignment horizontal="right" wrapText="1"/>
      <protection locked="0"/>
    </xf>
    <xf numFmtId="3" fontId="25" fillId="0" borderId="44" xfId="0" applyNumberFormat="1" applyFont="1" applyFill="1" applyBorder="1" applyAlignment="1" applyProtection="1">
      <alignment horizontal="right" wrapText="1"/>
      <protection locked="0"/>
    </xf>
    <xf numFmtId="3" fontId="29" fillId="0" borderId="45" xfId="0" applyNumberFormat="1" applyFont="1" applyFill="1" applyBorder="1" applyAlignment="1" applyProtection="1">
      <alignment horizontal="right" wrapText="1"/>
      <protection locked="0"/>
    </xf>
    <xf numFmtId="3" fontId="24" fillId="6" borderId="43" xfId="0" applyNumberFormat="1" applyFont="1" applyFill="1" applyBorder="1" applyAlignment="1" applyProtection="1">
      <alignment horizontal="center" wrapText="1"/>
    </xf>
    <xf numFmtId="3" fontId="29" fillId="0" borderId="44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  <protection locked="0"/>
    </xf>
    <xf numFmtId="3" fontId="29" fillId="0" borderId="45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</xf>
    <xf numFmtId="3" fontId="29" fillId="0" borderId="46" xfId="0" applyNumberFormat="1" applyFont="1" applyFill="1" applyBorder="1" applyAlignment="1" applyProtection="1">
      <alignment horizontal="right"/>
      <protection locked="0"/>
    </xf>
    <xf numFmtId="0" fontId="18" fillId="0" borderId="0" xfId="6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 wrapText="1"/>
    </xf>
    <xf numFmtId="1" fontId="8" fillId="0" borderId="28" xfId="3" applyNumberFormat="1" applyFont="1" applyBorder="1" applyAlignment="1">
      <alignment horizontal="right"/>
    </xf>
    <xf numFmtId="43" fontId="18" fillId="0" borderId="28" xfId="6" applyNumberFormat="1" applyFont="1" applyBorder="1" applyAlignment="1">
      <alignment horizontal="right" vertical="center"/>
    </xf>
    <xf numFmtId="1" fontId="8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8" fillId="0" borderId="0" xfId="9" applyFont="1" applyFill="1"/>
    <xf numFmtId="0" fontId="46" fillId="0" borderId="0" xfId="0" applyFont="1" applyFill="1"/>
    <xf numFmtId="4" fontId="3" fillId="0" borderId="28" xfId="11" applyNumberFormat="1" applyFont="1" applyFill="1" applyBorder="1" applyAlignment="1">
      <alignment horizontal="right" vertical="center"/>
    </xf>
    <xf numFmtId="4" fontId="9" fillId="2" borderId="11" xfId="7" applyNumberFormat="1" applyFont="1" applyFill="1" applyBorder="1"/>
    <xf numFmtId="4" fontId="18" fillId="2" borderId="10" xfId="7" applyNumberFormat="1" applyFont="1" applyFill="1" applyBorder="1"/>
    <xf numFmtId="4" fontId="2" fillId="0" borderId="11" xfId="6" applyNumberFormat="1" applyFont="1" applyBorder="1"/>
    <xf numFmtId="3" fontId="49" fillId="0" borderId="11" xfId="0" applyNumberFormat="1" applyFont="1" applyFill="1" applyBorder="1" applyAlignment="1" applyProtection="1">
      <alignment horizontal="right"/>
      <protection locked="0"/>
    </xf>
    <xf numFmtId="3" fontId="49" fillId="0" borderId="44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/>
    </xf>
    <xf numFmtId="0" fontId="15" fillId="6" borderId="5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5" fillId="6" borderId="3" xfId="1" applyFont="1" applyFill="1" applyBorder="1" applyAlignment="1">
      <alignment horizontal="center"/>
    </xf>
    <xf numFmtId="0" fontId="15" fillId="6" borderId="2" xfId="3" applyFont="1" applyFill="1" applyBorder="1" applyAlignment="1">
      <alignment vertical="center"/>
    </xf>
    <xf numFmtId="0" fontId="15" fillId="6" borderId="3" xfId="3" applyFont="1" applyFill="1" applyBorder="1" applyAlignment="1">
      <alignment vertical="center"/>
    </xf>
    <xf numFmtId="0" fontId="15" fillId="6" borderId="7" xfId="3" applyFont="1" applyFill="1" applyBorder="1" applyAlignment="1">
      <alignment vertical="center"/>
    </xf>
    <xf numFmtId="0" fontId="15" fillId="6" borderId="8" xfId="3" applyFont="1" applyFill="1" applyBorder="1" applyAlignment="1">
      <alignment vertical="center"/>
    </xf>
    <xf numFmtId="0" fontId="15" fillId="6" borderId="1" xfId="3" applyFont="1" applyFill="1" applyBorder="1" applyAlignment="1">
      <alignment horizontal="right" vertical="top"/>
    </xf>
    <xf numFmtId="0" fontId="15" fillId="6" borderId="6" xfId="3" applyFont="1" applyFill="1" applyBorder="1" applyAlignment="1">
      <alignment horizontal="right" vertical="top"/>
    </xf>
    <xf numFmtId="0" fontId="15" fillId="4" borderId="7" xfId="1" applyNumberFormat="1" applyFont="1" applyFill="1" applyBorder="1" applyAlignment="1" applyProtection="1">
      <alignment horizontal="center"/>
      <protection locked="0"/>
    </xf>
    <xf numFmtId="0" fontId="15" fillId="6" borderId="7" xfId="2" applyNumberFormat="1" applyFont="1" applyFill="1" applyBorder="1" applyAlignment="1">
      <alignment horizontal="center" vertical="center"/>
    </xf>
    <xf numFmtId="0" fontId="15" fillId="6" borderId="8" xfId="2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/>
    </xf>
    <xf numFmtId="0" fontId="44" fillId="0" borderId="23" xfId="0" applyFont="1" applyBorder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4" fillId="6" borderId="16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23" xfId="0" applyFont="1" applyFill="1" applyBorder="1" applyAlignment="1" applyProtection="1">
      <alignment horizontal="center" vertical="center"/>
    </xf>
    <xf numFmtId="2" fontId="24" fillId="6" borderId="16" xfId="0" applyNumberFormat="1" applyFont="1" applyFill="1" applyBorder="1" applyAlignment="1" applyProtection="1">
      <alignment horizontal="center" vertical="center"/>
    </xf>
    <xf numFmtId="2" fontId="24" fillId="6" borderId="0" xfId="0" applyNumberFormat="1" applyFont="1" applyFill="1" applyBorder="1" applyAlignment="1" applyProtection="1">
      <alignment horizontal="center" vertical="center"/>
    </xf>
    <xf numFmtId="2" fontId="24" fillId="6" borderId="23" xfId="0" applyNumberFormat="1" applyFont="1" applyFill="1" applyBorder="1" applyAlignment="1" applyProtection="1">
      <alignment horizontal="center" vertical="center"/>
    </xf>
    <xf numFmtId="0" fontId="24" fillId="6" borderId="36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42" xfId="0" applyFont="1" applyFill="1" applyBorder="1" applyAlignment="1" applyProtection="1">
      <alignment horizontal="center" vertical="center"/>
    </xf>
    <xf numFmtId="0" fontId="43" fillId="6" borderId="34" xfId="1" applyFont="1" applyFill="1" applyBorder="1" applyAlignment="1">
      <alignment horizontal="center" vertical="center"/>
    </xf>
    <xf numFmtId="0" fontId="43" fillId="6" borderId="2" xfId="1" applyFont="1" applyFill="1" applyBorder="1" applyAlignment="1">
      <alignment horizontal="center" vertical="center"/>
    </xf>
    <xf numFmtId="0" fontId="43" fillId="6" borderId="35" xfId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wrapText="1"/>
    </xf>
    <xf numFmtId="0" fontId="10" fillId="2" borderId="0" xfId="6" applyFill="1" applyBorder="1" applyAlignment="1">
      <alignment horizontal="left" wrapText="1"/>
    </xf>
    <xf numFmtId="0" fontId="7" fillId="2" borderId="0" xfId="6" applyFont="1" applyFill="1" applyBorder="1" applyAlignment="1">
      <alignment horizontal="left" wrapText="1"/>
    </xf>
    <xf numFmtId="0" fontId="18" fillId="0" borderId="0" xfId="6" applyFont="1" applyAlignment="1">
      <alignment horizontal="right"/>
    </xf>
    <xf numFmtId="0" fontId="18" fillId="7" borderId="14" xfId="6" applyFont="1" applyFill="1" applyBorder="1" applyAlignment="1">
      <alignment horizontal="center" vertical="center" wrapText="1"/>
    </xf>
    <xf numFmtId="3" fontId="18" fillId="7" borderId="14" xfId="6" applyNumberFormat="1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/>
    </xf>
    <xf numFmtId="0" fontId="18" fillId="7" borderId="6" xfId="6" applyFont="1" applyFill="1" applyBorder="1" applyAlignment="1">
      <alignment horizontal="center"/>
    </xf>
    <xf numFmtId="0" fontId="18" fillId="7" borderId="7" xfId="6" applyFont="1" applyFill="1" applyBorder="1" applyAlignment="1">
      <alignment horizontal="center"/>
    </xf>
    <xf numFmtId="0" fontId="18" fillId="7" borderId="8" xfId="6" applyFont="1" applyFill="1" applyBorder="1" applyAlignment="1">
      <alignment horizontal="center"/>
    </xf>
    <xf numFmtId="2" fontId="18" fillId="7" borderId="4" xfId="6" applyNumberFormat="1" applyFont="1" applyFill="1" applyBorder="1" applyAlignment="1">
      <alignment horizontal="center"/>
    </xf>
    <xf numFmtId="0" fontId="18" fillId="7" borderId="0" xfId="6" applyFont="1" applyFill="1" applyBorder="1" applyAlignment="1">
      <alignment horizontal="center"/>
    </xf>
    <xf numFmtId="0" fontId="18" fillId="7" borderId="5" xfId="6" applyFont="1" applyFill="1" applyBorder="1" applyAlignment="1">
      <alignment horizontal="center"/>
    </xf>
    <xf numFmtId="0" fontId="18" fillId="7" borderId="4" xfId="6" applyFont="1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8" fillId="7" borderId="2" xfId="6" applyFont="1" applyFill="1" applyBorder="1" applyAlignment="1">
      <alignment horizontal="center"/>
    </xf>
    <xf numFmtId="0" fontId="18" fillId="7" borderId="3" xfId="6" applyFont="1" applyFill="1" applyBorder="1" applyAlignment="1">
      <alignment horizontal="center"/>
    </xf>
    <xf numFmtId="165" fontId="21" fillId="7" borderId="1" xfId="5" applyNumberFormat="1" applyFont="1" applyFill="1" applyBorder="1" applyAlignment="1" applyProtection="1">
      <alignment horizontal="center"/>
    </xf>
    <xf numFmtId="165" fontId="21" fillId="7" borderId="2" xfId="5" applyNumberFormat="1" applyFont="1" applyFill="1" applyBorder="1" applyAlignment="1" applyProtection="1">
      <alignment horizontal="center"/>
    </xf>
    <xf numFmtId="165" fontId="21" fillId="7" borderId="3" xfId="5" applyNumberFormat="1" applyFont="1" applyFill="1" applyBorder="1" applyAlignment="1" applyProtection="1">
      <alignment horizontal="center"/>
    </xf>
    <xf numFmtId="165" fontId="21" fillId="7" borderId="4" xfId="5" applyNumberFormat="1" applyFont="1" applyFill="1" applyBorder="1" applyAlignment="1" applyProtection="1">
      <alignment horizontal="center"/>
      <protection locked="0"/>
    </xf>
    <xf numFmtId="165" fontId="21" fillId="7" borderId="0" xfId="5" applyNumberFormat="1" applyFont="1" applyFill="1" applyBorder="1" applyAlignment="1" applyProtection="1">
      <alignment horizontal="center"/>
      <protection locked="0"/>
    </xf>
    <xf numFmtId="165" fontId="21" fillId="7" borderId="5" xfId="5" applyNumberFormat="1" applyFont="1" applyFill="1" applyBorder="1" applyAlignment="1" applyProtection="1">
      <alignment horizontal="center"/>
      <protection locked="0"/>
    </xf>
    <xf numFmtId="165" fontId="21" fillId="7" borderId="4" xfId="5" applyNumberFormat="1" applyFont="1" applyFill="1" applyBorder="1" applyAlignment="1" applyProtection="1">
      <alignment horizontal="center"/>
    </xf>
    <xf numFmtId="165" fontId="21" fillId="7" borderId="0" xfId="5" applyNumberFormat="1" applyFont="1" applyFill="1" applyBorder="1" applyAlignment="1" applyProtection="1">
      <alignment horizontal="center"/>
    </xf>
    <xf numFmtId="165" fontId="21" fillId="7" borderId="5" xfId="5" applyNumberFormat="1" applyFont="1" applyFill="1" applyBorder="1" applyAlignment="1" applyProtection="1">
      <alignment horizontal="center"/>
    </xf>
    <xf numFmtId="165" fontId="21" fillId="7" borderId="6" xfId="5" applyNumberFormat="1" applyFont="1" applyFill="1" applyBorder="1" applyAlignment="1" applyProtection="1">
      <alignment horizontal="center"/>
    </xf>
    <xf numFmtId="165" fontId="21" fillId="7" borderId="7" xfId="5" applyNumberFormat="1" applyFont="1" applyFill="1" applyBorder="1" applyAlignment="1" applyProtection="1">
      <alignment horizontal="center"/>
    </xf>
    <xf numFmtId="165" fontId="21" fillId="7" borderId="8" xfId="5" applyNumberFormat="1" applyFont="1" applyFill="1" applyBorder="1" applyAlignment="1" applyProtection="1">
      <alignment horizontal="center"/>
    </xf>
    <xf numFmtId="0" fontId="21" fillId="7" borderId="1" xfId="5" applyFont="1" applyFill="1" applyBorder="1" applyAlignment="1">
      <alignment horizontal="center" vertical="center"/>
    </xf>
    <xf numFmtId="0" fontId="21" fillId="7" borderId="3" xfId="5" applyFont="1" applyFill="1" applyBorder="1" applyAlignment="1">
      <alignment horizontal="center" vertical="center"/>
    </xf>
    <xf numFmtId="0" fontId="21" fillId="7" borderId="4" xfId="5" applyFont="1" applyFill="1" applyBorder="1" applyAlignment="1">
      <alignment horizontal="center" vertical="center"/>
    </xf>
    <xf numFmtId="0" fontId="21" fillId="7" borderId="5" xfId="5" applyFont="1" applyFill="1" applyBorder="1" applyAlignment="1">
      <alignment horizontal="center" vertical="center"/>
    </xf>
    <xf numFmtId="0" fontId="21" fillId="7" borderId="6" xfId="5" applyFont="1" applyFill="1" applyBorder="1" applyAlignment="1">
      <alignment horizontal="center" vertical="center"/>
    </xf>
    <xf numFmtId="0" fontId="21" fillId="7" borderId="8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21" fillId="7" borderId="10" xfId="5" applyFont="1" applyFill="1" applyBorder="1" applyAlignment="1">
      <alignment horizontal="center" vertical="center"/>
    </xf>
    <xf numFmtId="0" fontId="21" fillId="7" borderId="24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30" xfId="5" applyFont="1" applyFill="1" applyBorder="1" applyAlignment="1">
      <alignment horizontal="center" vertical="center"/>
    </xf>
    <xf numFmtId="165" fontId="21" fillId="7" borderId="21" xfId="5" applyNumberFormat="1" applyFont="1" applyFill="1" applyBorder="1" applyAlignment="1" applyProtection="1">
      <alignment horizontal="center"/>
    </xf>
    <xf numFmtId="165" fontId="21" fillId="7" borderId="29" xfId="5" applyNumberFormat="1" applyFont="1" applyFill="1" applyBorder="1" applyAlignment="1" applyProtection="1">
      <alignment horizontal="center"/>
    </xf>
    <xf numFmtId="165" fontId="21" fillId="7" borderId="22" xfId="5" applyNumberFormat="1" applyFont="1" applyFill="1" applyBorder="1" applyAlignment="1" applyProtection="1">
      <alignment horizontal="center"/>
    </xf>
    <xf numFmtId="165" fontId="21" fillId="7" borderId="16" xfId="5" applyNumberFormat="1" applyFont="1" applyFill="1" applyBorder="1" applyAlignment="1" applyProtection="1">
      <alignment horizontal="center"/>
      <protection locked="0"/>
    </xf>
    <xf numFmtId="165" fontId="21" fillId="7" borderId="23" xfId="5" applyNumberFormat="1" applyFont="1" applyFill="1" applyBorder="1" applyAlignment="1" applyProtection="1">
      <alignment horizontal="center"/>
      <protection locked="0"/>
    </xf>
    <xf numFmtId="165" fontId="21" fillId="7" borderId="16" xfId="5" applyNumberFormat="1" applyFont="1" applyFill="1" applyBorder="1" applyAlignment="1" applyProtection="1">
      <alignment horizontal="center"/>
    </xf>
    <xf numFmtId="165" fontId="21" fillId="7" borderId="23" xfId="5" applyNumberFormat="1" applyFont="1" applyFill="1" applyBorder="1" applyAlignment="1" applyProtection="1">
      <alignment horizontal="center"/>
    </xf>
    <xf numFmtId="165" fontId="21" fillId="7" borderId="25" xfId="5" applyNumberFormat="1" applyFont="1" applyFill="1" applyBorder="1" applyAlignment="1" applyProtection="1">
      <alignment horizontal="center"/>
    </xf>
    <xf numFmtId="165" fontId="21" fillId="7" borderId="17" xfId="5" applyNumberFormat="1" applyFont="1" applyFill="1" applyBorder="1" applyAlignment="1" applyProtection="1">
      <alignment horizontal="center"/>
    </xf>
    <xf numFmtId="165" fontId="21" fillId="7" borderId="26" xfId="5" applyNumberFormat="1" applyFont="1" applyFill="1" applyBorder="1" applyAlignment="1" applyProtection="1">
      <alignment horizontal="center"/>
    </xf>
    <xf numFmtId="0" fontId="18" fillId="0" borderId="21" xfId="6" applyFont="1" applyBorder="1" applyAlignment="1">
      <alignment horizontal="justify" vertical="center" wrapText="1"/>
    </xf>
    <xf numFmtId="0" fontId="18" fillId="0" borderId="31" xfId="6" applyFont="1" applyBorder="1" applyAlignment="1">
      <alignment horizontal="justify" vertical="center" wrapText="1"/>
    </xf>
    <xf numFmtId="0" fontId="21" fillId="7" borderId="21" xfId="6" applyFont="1" applyFill="1" applyBorder="1" applyAlignment="1">
      <alignment horizontal="center" vertical="center"/>
    </xf>
    <xf numFmtId="0" fontId="21" fillId="7" borderId="29" xfId="6" applyFont="1" applyFill="1" applyBorder="1" applyAlignment="1">
      <alignment horizontal="center" vertical="center"/>
    </xf>
    <xf numFmtId="0" fontId="21" fillId="7" borderId="31" xfId="6" applyFont="1" applyFill="1" applyBorder="1" applyAlignment="1">
      <alignment horizontal="center"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0" xfId="6" applyFont="1" applyFill="1" applyBorder="1" applyAlignment="1">
      <alignment horizontal="center" vertical="center"/>
    </xf>
    <xf numFmtId="0" fontId="21" fillId="7" borderId="32" xfId="6" applyFont="1" applyFill="1" applyBorder="1" applyAlignment="1">
      <alignment horizontal="center" vertical="center"/>
    </xf>
    <xf numFmtId="0" fontId="21" fillId="7" borderId="25" xfId="6" applyFont="1" applyFill="1" applyBorder="1" applyAlignment="1">
      <alignment horizontal="center" vertical="center"/>
    </xf>
    <xf numFmtId="0" fontId="21" fillId="7" borderId="17" xfId="6" applyFont="1" applyFill="1" applyBorder="1" applyAlignment="1">
      <alignment horizontal="center" vertical="center"/>
    </xf>
    <xf numFmtId="0" fontId="21" fillId="7" borderId="33" xfId="6" applyFont="1" applyFill="1" applyBorder="1" applyAlignment="1">
      <alignment horizontal="center" vertical="center"/>
    </xf>
    <xf numFmtId="0" fontId="21" fillId="7" borderId="22" xfId="6" applyFont="1" applyFill="1" applyBorder="1" applyAlignment="1">
      <alignment horizontal="center" vertical="center"/>
    </xf>
    <xf numFmtId="0" fontId="21" fillId="7" borderId="26" xfId="6" applyFont="1" applyFill="1" applyBorder="1" applyAlignment="1">
      <alignment horizontal="center" vertical="center"/>
    </xf>
    <xf numFmtId="0" fontId="21" fillId="7" borderId="18" xfId="6" applyFont="1" applyFill="1" applyBorder="1" applyAlignment="1">
      <alignment horizontal="center" vertical="center" wrapText="1"/>
    </xf>
    <xf numFmtId="0" fontId="21" fillId="7" borderId="19" xfId="6" applyFont="1" applyFill="1" applyBorder="1" applyAlignment="1">
      <alignment horizontal="center" vertical="center" wrapText="1"/>
    </xf>
    <xf numFmtId="0" fontId="21" fillId="7" borderId="20" xfId="6" applyFont="1" applyFill="1" applyBorder="1" applyAlignment="1">
      <alignment horizontal="center" vertical="center" wrapText="1"/>
    </xf>
    <xf numFmtId="0" fontId="21" fillId="7" borderId="24" xfId="6" applyFont="1" applyFill="1" applyBorder="1" applyAlignment="1">
      <alignment horizontal="center" vertical="center" wrapText="1"/>
    </xf>
    <xf numFmtId="0" fontId="21" fillId="7" borderId="27" xfId="6" applyFont="1" applyFill="1" applyBorder="1" applyAlignment="1">
      <alignment horizontal="center" vertical="center" wrapText="1"/>
    </xf>
    <xf numFmtId="0" fontId="34" fillId="7" borderId="24" xfId="6" applyFont="1" applyFill="1" applyBorder="1" applyAlignment="1">
      <alignment horizontal="center" vertical="center"/>
    </xf>
    <xf numFmtId="0" fontId="34" fillId="7" borderId="27" xfId="6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/>
    </xf>
    <xf numFmtId="0" fontId="34" fillId="7" borderId="21" xfId="6" applyFont="1" applyFill="1" applyBorder="1" applyAlignment="1">
      <alignment horizontal="center" vertical="center"/>
    </xf>
    <xf numFmtId="0" fontId="34" fillId="7" borderId="29" xfId="6" applyFont="1" applyFill="1" applyBorder="1" applyAlignment="1">
      <alignment horizontal="center" vertical="center"/>
    </xf>
    <xf numFmtId="0" fontId="34" fillId="7" borderId="22" xfId="6" applyFont="1" applyFill="1" applyBorder="1" applyAlignment="1">
      <alignment horizontal="center" vertical="center"/>
    </xf>
    <xf numFmtId="0" fontId="34" fillId="7" borderId="16" xfId="6" applyFont="1" applyFill="1" applyBorder="1" applyAlignment="1">
      <alignment horizontal="center" vertical="center"/>
    </xf>
    <xf numFmtId="0" fontId="34" fillId="7" borderId="0" xfId="6" applyFont="1" applyFill="1" applyBorder="1" applyAlignment="1">
      <alignment horizontal="center" vertical="center"/>
    </xf>
    <xf numFmtId="0" fontId="34" fillId="7" borderId="23" xfId="6" applyFont="1" applyFill="1" applyBorder="1" applyAlignment="1">
      <alignment horizontal="center" vertical="center"/>
    </xf>
    <xf numFmtId="0" fontId="34" fillId="7" borderId="25" xfId="6" applyFont="1" applyFill="1" applyBorder="1" applyAlignment="1">
      <alignment horizontal="center" vertical="center"/>
    </xf>
    <xf numFmtId="0" fontId="34" fillId="7" borderId="17" xfId="6" applyFont="1" applyFill="1" applyBorder="1" applyAlignment="1">
      <alignment horizontal="center" vertical="center"/>
    </xf>
    <xf numFmtId="0" fontId="34" fillId="7" borderId="26" xfId="6" applyFont="1" applyFill="1" applyBorder="1" applyAlignment="1">
      <alignment horizontal="center" vertical="center"/>
    </xf>
    <xf numFmtId="43" fontId="10" fillId="0" borderId="11" xfId="7" applyNumberFormat="1" applyFont="1" applyFill="1" applyBorder="1"/>
    <xf numFmtId="4" fontId="10" fillId="0" borderId="11" xfId="7" applyNumberFormat="1" applyFont="1" applyFill="1" applyBorder="1"/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C43" zoomScaleNormal="100" workbookViewId="0">
      <selection activeCell="L48" sqref="L48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83" t="s">
        <v>522</v>
      </c>
      <c r="F1" s="383"/>
      <c r="G1" s="383"/>
      <c r="H1" s="383"/>
      <c r="I1" s="383"/>
      <c r="J1" s="383"/>
      <c r="K1" s="383"/>
      <c r="L1" s="383"/>
      <c r="M1" s="384"/>
    </row>
    <row r="2" spans="1:13" ht="13.9" customHeight="1">
      <c r="A2" s="98"/>
      <c r="B2" s="166"/>
      <c r="C2" s="167"/>
      <c r="D2" s="167"/>
      <c r="E2" s="381" t="s">
        <v>127</v>
      </c>
      <c r="F2" s="381"/>
      <c r="G2" s="381"/>
      <c r="H2" s="381"/>
      <c r="I2" s="381"/>
      <c r="J2" s="381"/>
      <c r="K2" s="381"/>
      <c r="L2" s="381"/>
      <c r="M2" s="382"/>
    </row>
    <row r="3" spans="1:13" ht="13.9" customHeight="1">
      <c r="A3" s="98"/>
      <c r="B3" s="166"/>
      <c r="C3" s="168"/>
      <c r="D3" s="168"/>
      <c r="E3" s="381" t="s">
        <v>536</v>
      </c>
      <c r="F3" s="381"/>
      <c r="G3" s="381"/>
      <c r="H3" s="381"/>
      <c r="I3" s="381"/>
      <c r="J3" s="381"/>
      <c r="K3" s="381"/>
      <c r="L3" s="381"/>
      <c r="M3" s="382"/>
    </row>
    <row r="4" spans="1:13" ht="14.25" customHeight="1">
      <c r="A4" s="99"/>
      <c r="B4" s="169"/>
      <c r="C4" s="170"/>
      <c r="D4" s="170"/>
      <c r="E4" s="392" t="s">
        <v>4</v>
      </c>
      <c r="F4" s="392"/>
      <c r="G4" s="392"/>
      <c r="H4" s="392"/>
      <c r="I4" s="392"/>
      <c r="J4" s="392"/>
      <c r="K4" s="392"/>
      <c r="L4" s="392"/>
      <c r="M4" s="393"/>
    </row>
    <row r="5" spans="1:13" ht="13.9" hidden="1" customHeight="1">
      <c r="B5" s="95"/>
      <c r="C5" s="96"/>
      <c r="D5" s="96" t="s">
        <v>5</v>
      </c>
      <c r="E5" s="391" t="s">
        <v>4</v>
      </c>
      <c r="F5" s="391"/>
      <c r="G5" s="391"/>
      <c r="H5" s="391"/>
      <c r="I5" s="391"/>
      <c r="J5" s="391"/>
      <c r="K5" s="391"/>
      <c r="L5" s="391"/>
      <c r="M5" s="391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5" t="s">
        <v>128</v>
      </c>
      <c r="D7" s="385"/>
      <c r="E7" s="386"/>
      <c r="F7" s="379" t="s">
        <v>537</v>
      </c>
      <c r="G7" s="379" t="s">
        <v>535</v>
      </c>
      <c r="H7" s="389"/>
      <c r="I7" s="385" t="s">
        <v>128</v>
      </c>
      <c r="J7" s="385"/>
      <c r="K7" s="386"/>
      <c r="L7" s="379" t="s">
        <v>537</v>
      </c>
      <c r="M7" s="379" t="s">
        <v>535</v>
      </c>
    </row>
    <row r="8" spans="1:13" s="19" customFormat="1" ht="15" customHeight="1">
      <c r="A8" s="42"/>
      <c r="B8" s="171"/>
      <c r="C8" s="387"/>
      <c r="D8" s="387"/>
      <c r="E8" s="388"/>
      <c r="F8" s="380"/>
      <c r="G8" s="380"/>
      <c r="H8" s="390"/>
      <c r="I8" s="387"/>
      <c r="J8" s="387"/>
      <c r="K8" s="388"/>
      <c r="L8" s="380"/>
      <c r="M8" s="380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6820555.04</v>
      </c>
      <c r="G11" s="192">
        <v>5001717.29</v>
      </c>
      <c r="H11" s="35"/>
      <c r="I11" s="9" t="s">
        <v>379</v>
      </c>
      <c r="J11" s="7"/>
      <c r="K11" s="7"/>
      <c r="L11" s="192">
        <f>SUM(L12:L20)</f>
        <v>394500.32999999996</v>
      </c>
      <c r="M11" s="192">
        <v>206859.83000000002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>
        <v>0</v>
      </c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6818055.04</v>
      </c>
      <c r="G13" s="191">
        <v>5001717.29</v>
      </c>
      <c r="H13" s="35"/>
      <c r="I13" s="10" t="s">
        <v>7</v>
      </c>
      <c r="J13" s="7" t="s">
        <v>0</v>
      </c>
      <c r="K13" s="7"/>
      <c r="L13" s="191">
        <v>30000</v>
      </c>
      <c r="M13" s="191">
        <v>17349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334799.35999999999</v>
      </c>
      <c r="M18" s="191">
        <v>184415.14</v>
      </c>
    </row>
    <row r="19" spans="1:13">
      <c r="B19" s="14"/>
      <c r="C19" s="9" t="s">
        <v>371</v>
      </c>
      <c r="D19" s="7"/>
      <c r="E19" s="23"/>
      <c r="F19" s="192">
        <f>SUM(F20:F26)</f>
        <v>19059.740000000002</v>
      </c>
      <c r="G19" s="192">
        <v>10742.15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29700.97</v>
      </c>
      <c r="M20" s="191">
        <v>5095.6899999999996</v>
      </c>
    </row>
    <row r="21" spans="1:13">
      <c r="B21" s="14"/>
      <c r="C21" s="10" t="s">
        <v>14</v>
      </c>
      <c r="D21" s="7" t="s">
        <v>47</v>
      </c>
      <c r="E21" s="23"/>
      <c r="F21" s="191">
        <v>3500</v>
      </c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11856.51</v>
      </c>
      <c r="G22" s="191">
        <v>7038.92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64294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>
        <v>2000</v>
      </c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394500.32999999996</v>
      </c>
      <c r="M48" s="192">
        <v>206859.83000000002</v>
      </c>
    </row>
    <row r="49" spans="2:13">
      <c r="B49" s="14"/>
      <c r="C49" s="11" t="s">
        <v>376</v>
      </c>
      <c r="D49" s="11"/>
      <c r="E49" s="24"/>
      <c r="F49" s="192">
        <f>+F11+F19+F27+F33+F39+F40+F43</f>
        <v>6903908.7800000003</v>
      </c>
      <c r="G49" s="192">
        <v>5074753.4400000004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26477271.07</v>
      </c>
      <c r="G55" s="191">
        <v>24936324.109999999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-34037054.649999999</v>
      </c>
      <c r="G57" s="191">
        <v>-33108514.289999999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>
        <v>23045.33</v>
      </c>
      <c r="H60" s="35"/>
      <c r="I60" s="12" t="s">
        <v>388</v>
      </c>
      <c r="J60" s="12"/>
      <c r="K60" s="12"/>
      <c r="L60" s="192">
        <f>+L48+L58</f>
        <v>394500.32999999996</v>
      </c>
      <c r="M60" s="192">
        <v>206859.83000000002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44574181.089999996</v>
      </c>
      <c r="G62" s="192">
        <v>43984819.82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51478089.869999997</v>
      </c>
      <c r="G64" s="192">
        <v>49059573.259999998</v>
      </c>
      <c r="H64" s="35"/>
      <c r="I64" s="9" t="s">
        <v>389</v>
      </c>
      <c r="J64" s="7"/>
      <c r="K64" s="7"/>
      <c r="L64" s="192">
        <f>SUM(L65:L67)</f>
        <v>74733392.439999998</v>
      </c>
      <c r="M64" s="192">
        <v>74623117.230000004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74733392.439999998</v>
      </c>
      <c r="M67" s="191">
        <v>74623117.230000004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-23649802.899999999</v>
      </c>
      <c r="M68" s="192">
        <v>-25770403.800000001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2205060.69</v>
      </c>
      <c r="M69" s="191">
        <v>-3043220.29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-29897635.809999999</v>
      </c>
      <c r="M70" s="191">
        <v>-26712380.530000001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4042772.22</v>
      </c>
      <c r="M72" s="191">
        <v>3985197.02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51083589.539999999</v>
      </c>
      <c r="M77" s="192">
        <v>48852713.430000007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51478089.869999997</v>
      </c>
      <c r="M78" s="192">
        <v>49059573.260000005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8"/>
      <c r="J91" s="378"/>
      <c r="K91" s="378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10" zoomScaleNormal="100" workbookViewId="0">
      <selection activeCell="H21" sqref="H21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394" t="s">
        <v>395</v>
      </c>
      <c r="D1" s="394"/>
      <c r="E1" s="394"/>
      <c r="F1" s="394"/>
      <c r="G1" s="394"/>
      <c r="H1" s="394"/>
      <c r="I1" s="394"/>
      <c r="J1" s="394"/>
    </row>
    <row r="2" spans="2:13" ht="15.75" thickBot="1">
      <c r="B2" s="395" t="s">
        <v>522</v>
      </c>
      <c r="C2" s="396"/>
      <c r="D2" s="396"/>
      <c r="E2" s="396"/>
      <c r="F2" s="396"/>
      <c r="G2" s="396"/>
      <c r="H2" s="396"/>
      <c r="I2" s="396"/>
      <c r="J2" s="397"/>
    </row>
    <row r="3" spans="2:13" ht="15.75" thickBot="1">
      <c r="B3" s="398" t="s">
        <v>395</v>
      </c>
      <c r="C3" s="399"/>
      <c r="D3" s="399"/>
      <c r="E3" s="399"/>
      <c r="F3" s="399"/>
      <c r="G3" s="399"/>
      <c r="H3" s="399"/>
      <c r="I3" s="399"/>
      <c r="J3" s="400"/>
    </row>
    <row r="4" spans="2:13" ht="15.75" thickBot="1">
      <c r="B4" s="398" t="s">
        <v>538</v>
      </c>
      <c r="C4" s="399"/>
      <c r="D4" s="399"/>
      <c r="E4" s="399"/>
      <c r="F4" s="399"/>
      <c r="G4" s="399"/>
      <c r="H4" s="399"/>
      <c r="I4" s="399"/>
      <c r="J4" s="400"/>
    </row>
    <row r="5" spans="2:13" ht="15.75" thickBot="1">
      <c r="B5" s="398" t="s">
        <v>328</v>
      </c>
      <c r="C5" s="399"/>
      <c r="D5" s="399"/>
      <c r="E5" s="399"/>
      <c r="F5" s="399"/>
      <c r="G5" s="399"/>
      <c r="H5" s="399"/>
      <c r="I5" s="399"/>
      <c r="J5" s="400"/>
    </row>
    <row r="6" spans="2:13" ht="45">
      <c r="B6" s="407" t="s">
        <v>396</v>
      </c>
      <c r="C6" s="408"/>
      <c r="D6" s="401" t="s">
        <v>539</v>
      </c>
      <c r="E6" s="401" t="s">
        <v>397</v>
      </c>
      <c r="F6" s="401" t="s">
        <v>398</v>
      </c>
      <c r="G6" s="401" t="s">
        <v>399</v>
      </c>
      <c r="H6" s="197" t="s">
        <v>400</v>
      </c>
      <c r="I6" s="401" t="s">
        <v>401</v>
      </c>
      <c r="J6" s="401" t="s">
        <v>402</v>
      </c>
    </row>
    <row r="7" spans="2:13" ht="15.75" thickBot="1">
      <c r="B7" s="409"/>
      <c r="C7" s="410"/>
      <c r="D7" s="402"/>
      <c r="E7" s="402"/>
      <c r="F7" s="402"/>
      <c r="G7" s="402"/>
      <c r="H7" s="198" t="s">
        <v>403</v>
      </c>
      <c r="I7" s="402"/>
      <c r="J7" s="402"/>
    </row>
    <row r="8" spans="2:13">
      <c r="B8" s="403"/>
      <c r="C8" s="404"/>
      <c r="D8" s="199"/>
      <c r="E8" s="199"/>
      <c r="F8" s="199"/>
      <c r="G8" s="199"/>
      <c r="H8" s="199"/>
      <c r="I8" s="199"/>
      <c r="J8" s="199"/>
    </row>
    <row r="9" spans="2:13">
      <c r="B9" s="405" t="s">
        <v>404</v>
      </c>
      <c r="C9" s="406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405" t="s">
        <v>405</v>
      </c>
      <c r="C10" s="406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405" t="s">
        <v>409</v>
      </c>
      <c r="C14" s="406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405" t="s">
        <v>413</v>
      </c>
      <c r="C21" s="406"/>
      <c r="D21" s="248">
        <f>'F1. ESF'!M11</f>
        <v>206859.83000000002</v>
      </c>
      <c r="E21" s="200"/>
      <c r="F21" s="200"/>
      <c r="G21" s="200"/>
      <c r="H21" s="248">
        <f>'F1. ESF'!L48</f>
        <v>394500.32999999996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405" t="s">
        <v>414</v>
      </c>
      <c r="C25" s="406"/>
      <c r="D25" s="248">
        <f>+D9+D21</f>
        <v>206859.83000000002</v>
      </c>
      <c r="E25" s="200"/>
      <c r="F25" s="200"/>
      <c r="G25" s="200">
        <f>+G9+G21</f>
        <v>0</v>
      </c>
      <c r="H25" s="248">
        <f>+H9+H21</f>
        <v>394500.32999999996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405"/>
      <c r="C26" s="406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405" t="s">
        <v>523</v>
      </c>
      <c r="C27" s="406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19"/>
      <c r="C28" s="420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21" t="s">
        <v>415</v>
      </c>
      <c r="C29" s="422"/>
      <c r="D29" s="229"/>
      <c r="E29" s="229"/>
      <c r="F29" s="229"/>
      <c r="G29" s="229"/>
      <c r="H29" s="229"/>
      <c r="I29" s="229"/>
      <c r="J29" s="230"/>
    </row>
    <row r="30" spans="2:13" ht="15.75" thickBot="1">
      <c r="B30" s="417"/>
      <c r="C30" s="418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412" t="s">
        <v>416</v>
      </c>
      <c r="C31" s="412"/>
      <c r="D31" s="412"/>
      <c r="E31" s="412"/>
      <c r="F31" s="412"/>
      <c r="G31" s="412"/>
      <c r="H31" s="412"/>
      <c r="I31" s="412"/>
      <c r="J31" s="412"/>
    </row>
    <row r="32" spans="2:13" ht="22.5" customHeight="1" thickBot="1">
      <c r="B32" s="413" t="s">
        <v>417</v>
      </c>
      <c r="C32" s="413"/>
      <c r="D32" s="413"/>
      <c r="E32" s="413"/>
      <c r="F32" s="413"/>
      <c r="G32" s="413"/>
      <c r="H32" s="413"/>
      <c r="I32" s="413"/>
      <c r="J32" s="413"/>
    </row>
    <row r="33" spans="2:14" ht="30">
      <c r="B33" s="414" t="s">
        <v>418</v>
      </c>
      <c r="C33" s="233" t="s">
        <v>419</v>
      </c>
      <c r="D33" s="233" t="s">
        <v>420</v>
      </c>
      <c r="E33" s="233" t="s">
        <v>421</v>
      </c>
      <c r="F33" s="414" t="s">
        <v>422</v>
      </c>
      <c r="G33" s="233" t="s">
        <v>423</v>
      </c>
    </row>
    <row r="34" spans="2:14">
      <c r="B34" s="415"/>
      <c r="C34" s="234" t="s">
        <v>424</v>
      </c>
      <c r="D34" s="234" t="s">
        <v>425</v>
      </c>
      <c r="E34" s="234" t="s">
        <v>426</v>
      </c>
      <c r="F34" s="415"/>
      <c r="G34" s="234" t="s">
        <v>427</v>
      </c>
    </row>
    <row r="35" spans="2:14" ht="15.75" thickBot="1">
      <c r="B35" s="416"/>
      <c r="C35" s="235"/>
      <c r="D35" s="236" t="s">
        <v>428</v>
      </c>
      <c r="E35" s="235"/>
      <c r="F35" s="416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411" t="s">
        <v>363</v>
      </c>
      <c r="C40" s="411"/>
      <c r="D40" s="411"/>
      <c r="E40" s="411"/>
      <c r="F40" s="411"/>
      <c r="G40" s="411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H15" sqref="H15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23" t="s">
        <v>433</v>
      </c>
      <c r="D1" s="423"/>
      <c r="E1" s="423"/>
      <c r="F1" s="423"/>
      <c r="G1" s="423"/>
      <c r="H1" s="423"/>
      <c r="I1" s="423"/>
      <c r="J1" s="423"/>
      <c r="K1" s="423"/>
      <c r="L1" s="423"/>
    </row>
    <row r="2" spans="2:12" ht="15.75" thickBot="1">
      <c r="B2" s="195"/>
    </row>
    <row r="3" spans="2:12" ht="15.75" thickBot="1">
      <c r="B3" s="395" t="s">
        <v>522</v>
      </c>
      <c r="C3" s="396"/>
      <c r="D3" s="396"/>
      <c r="E3" s="396"/>
      <c r="F3" s="396"/>
      <c r="G3" s="396"/>
      <c r="H3" s="396"/>
      <c r="I3" s="396"/>
      <c r="J3" s="396"/>
      <c r="K3" s="396"/>
      <c r="L3" s="397"/>
    </row>
    <row r="4" spans="2:12" ht="15.75" thickBot="1">
      <c r="B4" s="398" t="s">
        <v>434</v>
      </c>
      <c r="C4" s="399"/>
      <c r="D4" s="399"/>
      <c r="E4" s="399"/>
      <c r="F4" s="399"/>
      <c r="G4" s="399"/>
      <c r="H4" s="399"/>
      <c r="I4" s="399"/>
      <c r="J4" s="399"/>
      <c r="K4" s="399"/>
      <c r="L4" s="400"/>
    </row>
    <row r="5" spans="2:12" ht="15.75" thickBot="1">
      <c r="B5" s="398" t="s">
        <v>540</v>
      </c>
      <c r="C5" s="399"/>
      <c r="D5" s="399"/>
      <c r="E5" s="399"/>
      <c r="F5" s="399"/>
      <c r="G5" s="399"/>
      <c r="H5" s="399"/>
      <c r="I5" s="399"/>
      <c r="J5" s="399"/>
      <c r="K5" s="399"/>
      <c r="L5" s="400"/>
    </row>
    <row r="6" spans="2:12" ht="15.75" thickBot="1">
      <c r="B6" s="398" t="s">
        <v>328</v>
      </c>
      <c r="C6" s="399"/>
      <c r="D6" s="399"/>
      <c r="E6" s="399"/>
      <c r="F6" s="399"/>
      <c r="G6" s="399"/>
      <c r="H6" s="399"/>
      <c r="I6" s="399"/>
      <c r="J6" s="399"/>
      <c r="K6" s="399"/>
      <c r="L6" s="400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541</v>
      </c>
      <c r="K7" s="198" t="s">
        <v>542</v>
      </c>
      <c r="L7" s="198" t="s">
        <v>543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33.75" customHeight="1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1" zoomScale="80" zoomScaleNormal="80" workbookViewId="0">
      <selection activeCell="E72" sqref="E72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5" t="s">
        <v>327</v>
      </c>
      <c r="E3" s="426"/>
      <c r="F3" s="426"/>
      <c r="G3" s="427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7" t="s">
        <v>522</v>
      </c>
      <c r="E5" s="438"/>
      <c r="F5" s="438"/>
      <c r="G5" s="439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8" t="s">
        <v>327</v>
      </c>
      <c r="E6" s="429"/>
      <c r="F6" s="429"/>
      <c r="G6" s="430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31" t="s">
        <v>538</v>
      </c>
      <c r="E7" s="432"/>
      <c r="F7" s="432"/>
      <c r="G7" s="433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4" t="s">
        <v>328</v>
      </c>
      <c r="E8" s="435"/>
      <c r="F8" s="435"/>
      <c r="G8" s="436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20766712</v>
      </c>
      <c r="F11" s="71">
        <f t="shared" ref="F11:G11" si="0">+F12+F13+F14</f>
        <v>6534641.4500000002</v>
      </c>
      <c r="G11" s="350">
        <f t="shared" si="0"/>
        <v>6531141.4500000002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10833356</v>
      </c>
      <c r="F12" s="72">
        <v>4547873.25</v>
      </c>
      <c r="G12" s="351">
        <v>4544373.25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9933356</v>
      </c>
      <c r="F13" s="73">
        <v>1986768.2</v>
      </c>
      <c r="G13" s="352">
        <f>F13</f>
        <v>1986768.2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>+F38</f>
        <v>0</v>
      </c>
      <c r="G14" s="352">
        <f t="shared" ref="G14" si="1">+G38</f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20766712</v>
      </c>
      <c r="F15" s="71">
        <f t="shared" ref="F15:G15" si="2">+F16+F17</f>
        <v>4808666.82</v>
      </c>
      <c r="G15" s="350">
        <f t="shared" si="2"/>
        <v>4778666.82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10833356</v>
      </c>
      <c r="F16" s="73">
        <v>4169030.81</v>
      </c>
      <c r="G16" s="352">
        <v>4139030.81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9933356</v>
      </c>
      <c r="F17" s="73">
        <v>639636.01</v>
      </c>
      <c r="G17" s="352">
        <v>639636.01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3">+F19+F20</f>
        <v>77212.639999999999</v>
      </c>
      <c r="G18" s="350">
        <f t="shared" si="3"/>
        <v>77212.639999999999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74654.84</v>
      </c>
      <c r="G19" s="352">
        <v>74654.84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2557.8000000000002</v>
      </c>
      <c r="G20" s="352">
        <v>2557.8000000000002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>+F11-F15+F18</f>
        <v>1803187.2699999998</v>
      </c>
      <c r="G21" s="350">
        <f>+G11-G15+G18</f>
        <v>1829687.2699999998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4">+F21-F38</f>
        <v>1803187.2699999998</v>
      </c>
      <c r="G22" s="350">
        <f t="shared" si="4"/>
        <v>1829687.2699999998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5">+F22-F18</f>
        <v>1725974.63</v>
      </c>
      <c r="G23" s="353">
        <f t="shared" si="5"/>
        <v>1752474.63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6">+F27+F28</f>
        <v>0</v>
      </c>
      <c r="G26" s="350">
        <f t="shared" si="6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7">+F23+F26</f>
        <v>1725974.63</v>
      </c>
      <c r="G29" s="353">
        <f t="shared" si="7"/>
        <v>1752474.63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8">+F33+F34</f>
        <v>0</v>
      </c>
      <c r="G32" s="355">
        <f t="shared" si="8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9">+F36+F37</f>
        <v>0</v>
      </c>
      <c r="G35" s="355">
        <f t="shared" ref="G35" si="10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1">+F32-F35</f>
        <v>0</v>
      </c>
      <c r="G38" s="357">
        <f t="shared" si="11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10833356</v>
      </c>
      <c r="F41" s="75">
        <f>+'F5. EAID'!F41</f>
        <v>4547873.25</v>
      </c>
      <c r="G41" s="356">
        <f>+'F5. EAID'!G41</f>
        <v>4544373.25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2">+F43-F44</f>
        <v>0</v>
      </c>
      <c r="G42" s="358">
        <f t="shared" si="12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/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3">+F36</f>
        <v>0</v>
      </c>
      <c r="G44" s="356">
        <f t="shared" si="13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10833356</v>
      </c>
      <c r="F45" s="75">
        <v>4169030.81</v>
      </c>
      <c r="G45" s="356">
        <v>4139030.81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74654.84</v>
      </c>
      <c r="G46" s="356">
        <v>74654.84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453497.27999999991</v>
      </c>
      <c r="G47" s="355">
        <f>+G41+G42-G45+G46</f>
        <v>479997.27999999991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4">+E47-E42</f>
        <v>0</v>
      </c>
      <c r="F48" s="81">
        <f>+F47-F42</f>
        <v>453497.27999999991</v>
      </c>
      <c r="G48" s="357">
        <f t="shared" ref="G48" si="15">+G47-G42</f>
        <v>479997.27999999991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9933356</v>
      </c>
      <c r="F51" s="75">
        <f>+'F5. EAID'!F63</f>
        <v>1986768.2</v>
      </c>
      <c r="G51" s="356">
        <f>+'F5. EAID'!G63</f>
        <v>1986768.2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16">+F53-F54</f>
        <v>0</v>
      </c>
      <c r="G52" s="358">
        <f t="shared" si="16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9933356</v>
      </c>
      <c r="F55" s="376">
        <f>+'F6a. EAEPE OG'!G83-'F6a. EAEPE OG'!G149</f>
        <v>639636.01</v>
      </c>
      <c r="G55" s="377">
        <f>+'F6a. EAEPE OG'!H83-'F6a. EAEPE OG'!H149</f>
        <v>639636.01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2557.8000000000002</v>
      </c>
      <c r="G56" s="356">
        <v>2557.8000000000002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>+F51+F52-F55+F56</f>
        <v>1349689.99</v>
      </c>
      <c r="G57" s="355">
        <f t="shared" ref="G57" si="17">+G51+G52-G55+G56</f>
        <v>1349689.99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18">+F57-F52</f>
        <v>1349689.99</v>
      </c>
      <c r="G58" s="359">
        <f t="shared" si="18"/>
        <v>1349689.99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4" t="s">
        <v>363</v>
      </c>
      <c r="E60" s="424"/>
      <c r="F60" s="424"/>
      <c r="G60" s="424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4" t="s">
        <v>364</v>
      </c>
      <c r="E61" s="424"/>
      <c r="F61" s="424"/>
      <c r="G61" s="424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:G42 E15:G15 E18:G18 E21 G21 E48 G48 G4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43" zoomScaleNormal="100" workbookViewId="0">
      <selection activeCell="F56" sqref="F56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3" t="s">
        <v>258</v>
      </c>
      <c r="C1" s="443"/>
      <c r="D1" s="443"/>
      <c r="E1" s="443"/>
      <c r="F1" s="443"/>
      <c r="G1" s="443"/>
      <c r="H1" s="443"/>
    </row>
    <row r="2" spans="2:9" ht="15">
      <c r="B2" s="454" t="s">
        <v>522</v>
      </c>
      <c r="C2" s="455"/>
      <c r="D2" s="455"/>
      <c r="E2" s="455"/>
      <c r="F2" s="455"/>
      <c r="G2" s="455"/>
      <c r="H2" s="456"/>
    </row>
    <row r="3" spans="2:9" ht="15">
      <c r="B3" s="453" t="s">
        <v>534</v>
      </c>
      <c r="C3" s="451"/>
      <c r="D3" s="451"/>
      <c r="E3" s="451"/>
      <c r="F3" s="451"/>
      <c r="G3" s="451"/>
      <c r="H3" s="452"/>
    </row>
    <row r="4" spans="2:9" ht="15">
      <c r="B4" s="450" t="s">
        <v>544</v>
      </c>
      <c r="C4" s="451"/>
      <c r="D4" s="451"/>
      <c r="E4" s="451"/>
      <c r="F4" s="451"/>
      <c r="G4" s="451"/>
      <c r="H4" s="452"/>
    </row>
    <row r="5" spans="2:9" ht="15">
      <c r="B5" s="447" t="s">
        <v>4</v>
      </c>
      <c r="C5" s="448"/>
      <c r="D5" s="448"/>
      <c r="E5" s="448"/>
      <c r="F5" s="448"/>
      <c r="G5" s="448"/>
      <c r="H5" s="449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4" t="s">
        <v>259</v>
      </c>
      <c r="C7" s="446" t="s">
        <v>260</v>
      </c>
      <c r="D7" s="446"/>
      <c r="E7" s="446"/>
      <c r="F7" s="446"/>
      <c r="G7" s="446"/>
      <c r="H7" s="445" t="s">
        <v>261</v>
      </c>
    </row>
    <row r="8" spans="2:9" ht="30">
      <c r="B8" s="444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5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>
        <v>307.81</v>
      </c>
      <c r="E14" s="269">
        <f t="shared" si="0"/>
        <v>307.81</v>
      </c>
      <c r="F14" s="266">
        <v>307.81</v>
      </c>
      <c r="G14" s="266">
        <v>307.81</v>
      </c>
      <c r="H14" s="269"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900000</v>
      </c>
      <c r="D16" s="319">
        <v>1438423.2</v>
      </c>
      <c r="E16" s="315">
        <f t="shared" si="0"/>
        <v>2338423.2000000002</v>
      </c>
      <c r="F16" s="266">
        <v>1655898.2</v>
      </c>
      <c r="G16" s="266">
        <v>1652398.2</v>
      </c>
      <c r="H16" s="269"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9933356</v>
      </c>
      <c r="D35" s="269">
        <v>329067.24</v>
      </c>
      <c r="E35" s="315">
        <f t="shared" si="0"/>
        <v>10262423.24</v>
      </c>
      <c r="F35" s="266">
        <v>2891667.24</v>
      </c>
      <c r="G35" s="266">
        <v>2891667.24</v>
      </c>
      <c r="H35" s="266"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10833356</v>
      </c>
      <c r="D41" s="267">
        <f t="shared" ref="D41:G41" si="1">+D35+D29+D17+D16+D15+D14+D13+D12+D11+D10</f>
        <v>1767798.25</v>
      </c>
      <c r="E41" s="267">
        <f t="shared" si="1"/>
        <v>12601154.250000002</v>
      </c>
      <c r="F41" s="267">
        <f t="shared" si="1"/>
        <v>4547873.25</v>
      </c>
      <c r="G41" s="267">
        <f t="shared" si="1"/>
        <v>4544373.25</v>
      </c>
      <c r="H41" s="267"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30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9933356</v>
      </c>
      <c r="D61" s="522">
        <v>0</v>
      </c>
      <c r="E61" s="269">
        <f t="shared" ref="E61" si="2">C61+D61</f>
        <v>9933356</v>
      </c>
      <c r="F61" s="269">
        <v>1986668</v>
      </c>
      <c r="G61" s="269">
        <v>1986668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523">
        <v>100.2</v>
      </c>
      <c r="E62" s="266">
        <f>C62+D62</f>
        <v>100.2</v>
      </c>
      <c r="F62" s="266">
        <v>100.2</v>
      </c>
      <c r="G62" s="266">
        <v>100.2</v>
      </c>
      <c r="H62" s="91"/>
      <c r="I62" s="64"/>
      <c r="J62" s="64"/>
    </row>
    <row r="63" spans="2:10" ht="15">
      <c r="B63" s="86" t="s">
        <v>318</v>
      </c>
      <c r="C63" s="267">
        <f>C61+C53+C44+C58+C62</f>
        <v>9933356</v>
      </c>
      <c r="D63" s="267">
        <f t="shared" ref="D63:G63" si="3">D61+D53+D44+D58+D62</f>
        <v>100.2</v>
      </c>
      <c r="E63" s="267">
        <f t="shared" si="3"/>
        <v>9933456.1999999993</v>
      </c>
      <c r="F63" s="267">
        <f>F61+F53+F44+F58+F62</f>
        <v>1986768.2</v>
      </c>
      <c r="G63" s="267">
        <f t="shared" si="3"/>
        <v>1986768.2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267">
        <f>D65</f>
        <v>453762.15</v>
      </c>
      <c r="E64" s="267">
        <f t="shared" ref="E64:G64" si="4">E65</f>
        <v>453762.15</v>
      </c>
      <c r="F64" s="92">
        <f t="shared" si="4"/>
        <v>0</v>
      </c>
      <c r="G64" s="92">
        <f t="shared" si="4"/>
        <v>0</v>
      </c>
      <c r="H64" s="92"/>
      <c r="I64" s="64"/>
      <c r="J64" s="65"/>
    </row>
    <row r="65" spans="2:10" ht="15">
      <c r="B65" s="84" t="s">
        <v>320</v>
      </c>
      <c r="C65" s="93"/>
      <c r="D65" s="373">
        <v>453762.15</v>
      </c>
      <c r="E65" s="373">
        <f t="shared" ref="E65" si="5">C65+D65</f>
        <v>453762.15</v>
      </c>
      <c r="F65" s="93"/>
      <c r="G65" s="93"/>
      <c r="H65" s="93"/>
      <c r="I65" s="64"/>
      <c r="J65" s="328">
        <f>G41+G63</f>
        <v>6531141.4500000002</v>
      </c>
    </row>
    <row r="66" spans="2:10" ht="15">
      <c r="B66" s="86" t="s">
        <v>321</v>
      </c>
      <c r="C66" s="267">
        <f>C64+C63+C41</f>
        <v>20766712</v>
      </c>
      <c r="D66" s="267">
        <f>D64+D63+D41</f>
        <v>2221660.6</v>
      </c>
      <c r="E66" s="267">
        <f t="shared" ref="E66:G66" si="6">E64+E63+E41</f>
        <v>22988372.600000001</v>
      </c>
      <c r="F66" s="267">
        <f t="shared" si="6"/>
        <v>6534641.4500000002</v>
      </c>
      <c r="G66" s="267">
        <f t="shared" si="6"/>
        <v>6531141.4500000002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373">
        <v>453762.15</v>
      </c>
      <c r="E68" s="267">
        <f t="shared" ref="E68" si="7">C68+D68</f>
        <v>453762.15</v>
      </c>
      <c r="F68" s="267">
        <v>0</v>
      </c>
      <c r="G68" s="92"/>
      <c r="H68" s="92"/>
      <c r="I68" s="64"/>
      <c r="J68" s="64"/>
    </row>
    <row r="69" spans="2:10" ht="15">
      <c r="B69" s="86" t="s">
        <v>324</v>
      </c>
      <c r="C69" s="92"/>
      <c r="D69" s="92">
        <v>0</v>
      </c>
      <c r="E69" s="267"/>
      <c r="F69" s="267"/>
      <c r="G69" s="92"/>
      <c r="H69" s="92"/>
      <c r="I69" s="64"/>
      <c r="J69" s="64"/>
    </row>
    <row r="70" spans="2:10" ht="15">
      <c r="B70" s="89" t="s">
        <v>325</v>
      </c>
      <c r="C70" s="94"/>
      <c r="D70" s="374">
        <f>D68+D69</f>
        <v>453762.15</v>
      </c>
      <c r="E70" s="374">
        <f>E68+E69</f>
        <v>453762.15</v>
      </c>
      <c r="F70" s="374">
        <f t="shared" ref="F70" si="8">F68+F69</f>
        <v>0</v>
      </c>
      <c r="G70" s="94"/>
      <c r="H70" s="94"/>
      <c r="I70" s="64"/>
      <c r="J70" s="64"/>
    </row>
    <row r="71" spans="2:10" ht="29.25" customHeight="1">
      <c r="B71" s="441" t="s">
        <v>326</v>
      </c>
      <c r="C71" s="441"/>
      <c r="D71" s="441"/>
      <c r="E71" s="441"/>
      <c r="F71" s="441"/>
      <c r="G71" s="441"/>
      <c r="H71" s="441"/>
      <c r="I71" s="64"/>
      <c r="J71" s="64"/>
    </row>
    <row r="72" spans="2:10" ht="15">
      <c r="B72" s="442" t="s">
        <v>518</v>
      </c>
      <c r="C72" s="441"/>
      <c r="D72" s="441"/>
      <c r="E72" s="441"/>
      <c r="F72" s="441"/>
      <c r="G72" s="441"/>
      <c r="H72" s="441"/>
    </row>
    <row r="73" spans="2:10" ht="27.75" customHeight="1">
      <c r="B73" s="440" t="s">
        <v>520</v>
      </c>
      <c r="C73" s="441"/>
      <c r="D73" s="441"/>
      <c r="E73" s="441"/>
      <c r="F73" s="441"/>
      <c r="G73" s="441"/>
      <c r="H73" s="441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3945345.8999999994</v>
      </c>
      <c r="G76" s="317"/>
      <c r="H76" s="329"/>
    </row>
    <row r="77" spans="2:10">
      <c r="C77" s="318">
        <f>C66-C75</f>
        <v>1359488</v>
      </c>
      <c r="D77" s="318">
        <f t="shared" ref="D77:G77" si="9">D66-D75</f>
        <v>2094499.5</v>
      </c>
      <c r="E77" s="318">
        <f t="shared" si="9"/>
        <v>3453987.5</v>
      </c>
      <c r="F77" s="318">
        <f t="shared" si="9"/>
        <v>6534629.4500000002</v>
      </c>
      <c r="G77" s="318">
        <f t="shared" si="9"/>
        <v>-2120703.7600000007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zoomScaleNormal="100" workbookViewId="0">
      <selection activeCell="D76" sqref="D76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7" t="s">
        <v>524</v>
      </c>
      <c r="C2" s="458"/>
      <c r="D2" s="458"/>
      <c r="E2" s="458"/>
      <c r="F2" s="458"/>
      <c r="G2" s="458"/>
      <c r="H2" s="458"/>
      <c r="I2" s="459"/>
    </row>
    <row r="3" spans="1:13" ht="15">
      <c r="A3" s="45"/>
      <c r="B3" s="460" t="s">
        <v>365</v>
      </c>
      <c r="C3" s="461"/>
      <c r="D3" s="461"/>
      <c r="E3" s="461"/>
      <c r="F3" s="461"/>
      <c r="G3" s="461"/>
      <c r="H3" s="461"/>
      <c r="I3" s="462"/>
    </row>
    <row r="4" spans="1:13" ht="15">
      <c r="A4" s="45"/>
      <c r="B4" s="463" t="s">
        <v>366</v>
      </c>
      <c r="C4" s="464"/>
      <c r="D4" s="464"/>
      <c r="E4" s="464"/>
      <c r="F4" s="464"/>
      <c r="G4" s="464"/>
      <c r="H4" s="464"/>
      <c r="I4" s="465"/>
    </row>
    <row r="5" spans="1:13" ht="15">
      <c r="A5" s="45"/>
      <c r="B5" s="466" t="s">
        <v>540</v>
      </c>
      <c r="C5" s="467"/>
      <c r="D5" s="467"/>
      <c r="E5" s="467"/>
      <c r="F5" s="467"/>
      <c r="G5" s="467"/>
      <c r="H5" s="467"/>
      <c r="I5" s="468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9" t="s">
        <v>128</v>
      </c>
      <c r="C7" s="470"/>
      <c r="D7" s="475"/>
      <c r="E7" s="475"/>
      <c r="F7" s="475"/>
      <c r="G7" s="475"/>
      <c r="H7" s="476"/>
      <c r="I7" s="477" t="s">
        <v>149</v>
      </c>
    </row>
    <row r="8" spans="1:13" ht="30">
      <c r="A8" s="45"/>
      <c r="B8" s="471"/>
      <c r="C8" s="472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8"/>
    </row>
    <row r="9" spans="1:13" ht="15">
      <c r="A9" s="45"/>
      <c r="B9" s="473"/>
      <c r="C9" s="474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10833356</v>
      </c>
      <c r="E10" s="49">
        <f t="shared" ref="E10:I10" si="0">+E11+E19+E29+E39+E49+E59+E63+E71+E75</f>
        <v>2216835.48</v>
      </c>
      <c r="F10" s="49">
        <f t="shared" si="0"/>
        <v>13050191.48</v>
      </c>
      <c r="G10" s="49">
        <f t="shared" si="0"/>
        <v>4169030.8100000005</v>
      </c>
      <c r="H10" s="49">
        <f t="shared" si="0"/>
        <v>4139030.8100000005</v>
      </c>
      <c r="I10" s="49">
        <f t="shared" si="0"/>
        <v>8881160.6699999981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3171643</v>
      </c>
      <c r="E11" s="53">
        <f t="shared" ref="E11:I11" si="1">SUM(E12:E18)</f>
        <v>343568.63999999996</v>
      </c>
      <c r="F11" s="53">
        <f t="shared" si="1"/>
        <v>3515211.6399999997</v>
      </c>
      <c r="G11" s="53">
        <f t="shared" si="1"/>
        <v>2347663.8400000003</v>
      </c>
      <c r="H11" s="53">
        <f t="shared" si="1"/>
        <v>2347663.8400000003</v>
      </c>
      <c r="I11" s="53">
        <f t="shared" si="1"/>
        <v>1167547.7999999998</v>
      </c>
    </row>
    <row r="12" spans="1:13" ht="15">
      <c r="A12" s="45"/>
      <c r="B12" s="62" t="s">
        <v>6</v>
      </c>
      <c r="C12" s="54" t="s">
        <v>157</v>
      </c>
      <c r="D12" s="78"/>
      <c r="E12" s="78"/>
      <c r="F12" s="78">
        <f>D12+E12</f>
        <v>0</v>
      </c>
      <c r="G12" s="78"/>
      <c r="H12" s="78"/>
      <c r="I12" s="283">
        <f>F12-G12</f>
        <v>0</v>
      </c>
    </row>
    <row r="13" spans="1:13" ht="15">
      <c r="A13" s="45"/>
      <c r="B13" s="62" t="s">
        <v>7</v>
      </c>
      <c r="C13" s="54" t="s">
        <v>158</v>
      </c>
      <c r="D13" s="78">
        <v>2582643</v>
      </c>
      <c r="E13" s="78">
        <v>311387.46999999997</v>
      </c>
      <c r="F13" s="78">
        <f t="shared" ref="F13:F38" si="2">D13+E13</f>
        <v>2894030.4699999997</v>
      </c>
      <c r="G13" s="78">
        <v>2147653.94</v>
      </c>
      <c r="H13" s="78">
        <v>2147653.94</v>
      </c>
      <c r="I13" s="283">
        <f t="shared" ref="I13:I18" si="3">F13-G13</f>
        <v>746376.5299999998</v>
      </c>
    </row>
    <row r="14" spans="1:13" ht="15">
      <c r="A14" s="45"/>
      <c r="B14" s="62" t="s">
        <v>8</v>
      </c>
      <c r="C14" s="54" t="s">
        <v>159</v>
      </c>
      <c r="D14" s="78">
        <v>360000</v>
      </c>
      <c r="E14" s="78">
        <v>0</v>
      </c>
      <c r="F14" s="78">
        <f>D14+E14</f>
        <v>360000</v>
      </c>
      <c r="G14" s="78">
        <v>2989.24</v>
      </c>
      <c r="H14" s="78">
        <v>2989.24</v>
      </c>
      <c r="I14" s="283">
        <f t="shared" si="3"/>
        <v>357010.76</v>
      </c>
      <c r="K14" s="368"/>
    </row>
    <row r="15" spans="1:13" ht="15">
      <c r="A15" s="45"/>
      <c r="B15" s="62" t="s">
        <v>9</v>
      </c>
      <c r="C15" s="54" t="s">
        <v>160</v>
      </c>
      <c r="D15" s="78">
        <v>0</v>
      </c>
      <c r="E15" s="78">
        <v>0</v>
      </c>
      <c r="F15" s="78">
        <f t="shared" si="2"/>
        <v>0</v>
      </c>
      <c r="G15" s="325">
        <v>0</v>
      </c>
      <c r="H15" s="325">
        <v>0</v>
      </c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228000</v>
      </c>
      <c r="E16" s="78">
        <v>32181.17</v>
      </c>
      <c r="F16" s="78">
        <f t="shared" si="2"/>
        <v>260181.16999999998</v>
      </c>
      <c r="G16" s="78">
        <v>197020.66</v>
      </c>
      <c r="H16" s="375">
        <v>197020.66</v>
      </c>
      <c r="I16" s="283">
        <f t="shared" si="3"/>
        <v>63160.50999999998</v>
      </c>
    </row>
    <row r="17" spans="1:11" ht="15">
      <c r="A17" s="45"/>
      <c r="B17" s="62" t="s">
        <v>11</v>
      </c>
      <c r="C17" s="54" t="s">
        <v>162</v>
      </c>
      <c r="D17" s="78">
        <v>1000</v>
      </c>
      <c r="E17" s="78">
        <v>0</v>
      </c>
      <c r="F17" s="78">
        <f t="shared" si="2"/>
        <v>1000</v>
      </c>
      <c r="G17" s="78">
        <v>0</v>
      </c>
      <c r="H17" s="78">
        <v>0</v>
      </c>
      <c r="I17" s="283">
        <f t="shared" si="3"/>
        <v>1000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>
        <v>0</v>
      </c>
      <c r="F18" s="78">
        <f t="shared" si="2"/>
        <v>0</v>
      </c>
      <c r="G18" s="78">
        <v>0</v>
      </c>
      <c r="H18" s="78">
        <v>0</v>
      </c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472000</v>
      </c>
      <c r="E19" s="162">
        <f t="shared" ref="E19:I19" si="4">SUM(E20:E28)</f>
        <v>-933.33000000000072</v>
      </c>
      <c r="F19" s="162">
        <f>SUM(F20:F28)</f>
        <v>471066.67</v>
      </c>
      <c r="G19" s="162">
        <f t="shared" si="4"/>
        <v>96250.25</v>
      </c>
      <c r="H19" s="162">
        <f t="shared" si="4"/>
        <v>96250.25</v>
      </c>
      <c r="I19" s="162">
        <f t="shared" si="4"/>
        <v>374816.42</v>
      </c>
    </row>
    <row r="20" spans="1:11" ht="15">
      <c r="A20" s="45"/>
      <c r="B20" s="62" t="s">
        <v>13</v>
      </c>
      <c r="C20" s="54" t="s">
        <v>164</v>
      </c>
      <c r="D20" s="78">
        <v>180500</v>
      </c>
      <c r="E20" s="78">
        <v>11407.83</v>
      </c>
      <c r="F20" s="78">
        <f t="shared" si="2"/>
        <v>191907.83</v>
      </c>
      <c r="G20" s="78">
        <v>41938.769999999997</v>
      </c>
      <c r="H20" s="78">
        <v>41938.769999999997</v>
      </c>
      <c r="I20" s="283">
        <f>F20-G20</f>
        <v>149969.06</v>
      </c>
      <c r="K20" s="369"/>
    </row>
    <row r="21" spans="1:11" ht="15">
      <c r="A21" s="45"/>
      <c r="B21" s="62" t="s">
        <v>14</v>
      </c>
      <c r="C21" s="54" t="s">
        <v>165</v>
      </c>
      <c r="D21" s="78">
        <v>53300</v>
      </c>
      <c r="E21" s="78">
        <v>2801.43</v>
      </c>
      <c r="F21" s="78">
        <f t="shared" si="2"/>
        <v>56101.43</v>
      </c>
      <c r="G21" s="78">
        <v>13690.12</v>
      </c>
      <c r="H21" s="78">
        <v>13690.12</v>
      </c>
      <c r="I21" s="283">
        <f t="shared" ref="I21:I28" si="5">F21-G21</f>
        <v>42411.31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2"/>
        <v>0</v>
      </c>
      <c r="G22" s="78">
        <v>0</v>
      </c>
      <c r="H22" s="78">
        <v>0</v>
      </c>
      <c r="I22" s="283">
        <f t="shared" si="5"/>
        <v>0</v>
      </c>
    </row>
    <row r="23" spans="1:11" ht="15">
      <c r="A23" s="45"/>
      <c r="B23" s="62" t="s">
        <v>16</v>
      </c>
      <c r="C23" s="54" t="s">
        <v>167</v>
      </c>
      <c r="D23" s="78">
        <v>25600</v>
      </c>
      <c r="E23" s="78">
        <v>-11356.17</v>
      </c>
      <c r="F23" s="78">
        <f t="shared" si="2"/>
        <v>14243.83</v>
      </c>
      <c r="G23" s="78">
        <v>80.010000000000005</v>
      </c>
      <c r="H23" s="78">
        <v>80.010000000000005</v>
      </c>
      <c r="I23" s="283">
        <f t="shared" si="5"/>
        <v>14163.82</v>
      </c>
    </row>
    <row r="24" spans="1:11" ht="15">
      <c r="A24" s="45"/>
      <c r="B24" s="62" t="s">
        <v>17</v>
      </c>
      <c r="C24" s="54" t="s">
        <v>168</v>
      </c>
      <c r="D24" s="78">
        <v>15600</v>
      </c>
      <c r="E24" s="78">
        <v>700</v>
      </c>
      <c r="F24" s="78">
        <f t="shared" si="2"/>
        <v>16300</v>
      </c>
      <c r="G24" s="78">
        <v>1737.5</v>
      </c>
      <c r="H24" s="78">
        <v>1737.5</v>
      </c>
      <c r="I24" s="283">
        <f t="shared" si="5"/>
        <v>14562.5</v>
      </c>
    </row>
    <row r="25" spans="1:11" ht="15">
      <c r="A25" s="45"/>
      <c r="B25" s="62" t="s">
        <v>18</v>
      </c>
      <c r="C25" s="54" t="s">
        <v>169</v>
      </c>
      <c r="D25" s="78">
        <v>123084</v>
      </c>
      <c r="E25" s="78">
        <v>7277.66</v>
      </c>
      <c r="F25" s="78">
        <f t="shared" si="2"/>
        <v>130361.66</v>
      </c>
      <c r="G25" s="78">
        <v>28872.3</v>
      </c>
      <c r="H25" s="78">
        <v>28872.3</v>
      </c>
      <c r="I25" s="283">
        <f t="shared" si="5"/>
        <v>101489.36</v>
      </c>
    </row>
    <row r="26" spans="1:11" ht="15">
      <c r="A26" s="45"/>
      <c r="B26" s="62" t="s">
        <v>61</v>
      </c>
      <c r="C26" s="54" t="s">
        <v>170</v>
      </c>
      <c r="D26" s="78">
        <v>39600</v>
      </c>
      <c r="E26" s="78">
        <v>-11699.95</v>
      </c>
      <c r="F26" s="78">
        <f t="shared" si="2"/>
        <v>27900.05</v>
      </c>
      <c r="G26" s="78">
        <v>300.05</v>
      </c>
      <c r="H26" s="78">
        <v>300.05</v>
      </c>
      <c r="I26" s="283">
        <f t="shared" si="5"/>
        <v>27600</v>
      </c>
    </row>
    <row r="27" spans="1:11" ht="15">
      <c r="A27" s="45"/>
      <c r="B27" s="62" t="s">
        <v>223</v>
      </c>
      <c r="C27" s="54" t="s">
        <v>171</v>
      </c>
      <c r="D27" s="78">
        <v>0</v>
      </c>
      <c r="E27" s="78">
        <v>0</v>
      </c>
      <c r="F27" s="78">
        <f t="shared" si="2"/>
        <v>0</v>
      </c>
      <c r="G27" s="78">
        <v>0</v>
      </c>
      <c r="H27" s="78">
        <v>0</v>
      </c>
      <c r="I27" s="283">
        <f t="shared" si="5"/>
        <v>0</v>
      </c>
    </row>
    <row r="28" spans="1:11" ht="15">
      <c r="A28" s="45"/>
      <c r="B28" s="62" t="s">
        <v>224</v>
      </c>
      <c r="C28" s="54" t="s">
        <v>172</v>
      </c>
      <c r="D28" s="78">
        <v>34316</v>
      </c>
      <c r="E28" s="78">
        <v>-64.13</v>
      </c>
      <c r="F28" s="78">
        <f t="shared" si="2"/>
        <v>34251.870000000003</v>
      </c>
      <c r="G28" s="78">
        <v>9631.5</v>
      </c>
      <c r="H28" s="78">
        <v>9631.5</v>
      </c>
      <c r="I28" s="283">
        <f t="shared" si="5"/>
        <v>24620.370000000003</v>
      </c>
    </row>
    <row r="29" spans="1:11" ht="15">
      <c r="A29" s="50"/>
      <c r="B29" s="55" t="s">
        <v>230</v>
      </c>
      <c r="C29" s="56"/>
      <c r="D29" s="162">
        <f>SUM(D30:D38)</f>
        <v>7089713</v>
      </c>
      <c r="E29" s="162">
        <f t="shared" ref="E29:I29" si="6">SUM(E30:E38)</f>
        <v>435800.17</v>
      </c>
      <c r="F29" s="162">
        <f t="shared" si="6"/>
        <v>7525513.1700000009</v>
      </c>
      <c r="G29" s="162">
        <f t="shared" si="6"/>
        <v>286716.71999999997</v>
      </c>
      <c r="H29" s="162">
        <f t="shared" si="6"/>
        <v>256716.72</v>
      </c>
      <c r="I29" s="162">
        <f t="shared" si="6"/>
        <v>7238796.4499999993</v>
      </c>
    </row>
    <row r="30" spans="1:11" ht="15">
      <c r="A30" s="45"/>
      <c r="B30" s="62" t="s">
        <v>21</v>
      </c>
      <c r="C30" s="54" t="s">
        <v>173</v>
      </c>
      <c r="D30" s="78">
        <v>221100</v>
      </c>
      <c r="E30" s="78">
        <v>36921.53</v>
      </c>
      <c r="F30" s="78">
        <f t="shared" si="2"/>
        <v>258021.53</v>
      </c>
      <c r="G30" s="78">
        <v>58861.52</v>
      </c>
      <c r="H30" s="78">
        <v>58861.52</v>
      </c>
      <c r="I30" s="283">
        <f>F30-G30</f>
        <v>199160.01</v>
      </c>
      <c r="K30" s="368"/>
    </row>
    <row r="31" spans="1:11" ht="15">
      <c r="A31" s="45"/>
      <c r="B31" s="62" t="s">
        <v>22</v>
      </c>
      <c r="C31" s="54" t="s">
        <v>174</v>
      </c>
      <c r="D31" s="78">
        <v>6159713</v>
      </c>
      <c r="E31" s="78">
        <v>1873.4</v>
      </c>
      <c r="F31" s="78">
        <f t="shared" si="2"/>
        <v>6161586.4000000004</v>
      </c>
      <c r="G31" s="78">
        <v>1873.4</v>
      </c>
      <c r="H31" s="78">
        <v>1873.4</v>
      </c>
      <c r="I31" s="283">
        <f t="shared" ref="I31:I38" si="7">F31-G31</f>
        <v>6159713</v>
      </c>
    </row>
    <row r="32" spans="1:11" ht="15">
      <c r="A32" s="45"/>
      <c r="B32" s="62" t="s">
        <v>23</v>
      </c>
      <c r="C32" s="54" t="s">
        <v>175</v>
      </c>
      <c r="D32" s="78">
        <v>187600</v>
      </c>
      <c r="E32" s="78">
        <v>-2939.76</v>
      </c>
      <c r="F32" s="78">
        <f t="shared" si="2"/>
        <v>184660.24</v>
      </c>
      <c r="G32" s="78">
        <v>56714.77</v>
      </c>
      <c r="H32" s="78">
        <v>56714.77</v>
      </c>
      <c r="I32" s="283">
        <f t="shared" si="7"/>
        <v>127945.47</v>
      </c>
      <c r="K32" s="370"/>
    </row>
    <row r="33" spans="1:9" ht="15">
      <c r="A33" s="45"/>
      <c r="B33" s="62" t="s">
        <v>24</v>
      </c>
      <c r="C33" s="54" t="s">
        <v>176</v>
      </c>
      <c r="D33" s="78">
        <v>7400</v>
      </c>
      <c r="E33" s="78">
        <v>579.72</v>
      </c>
      <c r="F33" s="78">
        <f t="shared" si="2"/>
        <v>7979.72</v>
      </c>
      <c r="G33" s="78">
        <v>4118</v>
      </c>
      <c r="H33" s="78">
        <v>4118</v>
      </c>
      <c r="I33" s="283">
        <f t="shared" si="7"/>
        <v>3861.7200000000003</v>
      </c>
    </row>
    <row r="34" spans="1:9" ht="15">
      <c r="A34" s="45"/>
      <c r="B34" s="62" t="s">
        <v>25</v>
      </c>
      <c r="C34" s="54" t="s">
        <v>177</v>
      </c>
      <c r="D34" s="78">
        <v>255600</v>
      </c>
      <c r="E34" s="78">
        <v>8668</v>
      </c>
      <c r="F34" s="78">
        <f t="shared" si="2"/>
        <v>264268</v>
      </c>
      <c r="G34" s="78">
        <v>120988</v>
      </c>
      <c r="H34" s="78">
        <v>90988</v>
      </c>
      <c r="I34" s="283">
        <f t="shared" si="7"/>
        <v>143280</v>
      </c>
    </row>
    <row r="35" spans="1:9" ht="15">
      <c r="A35" s="45"/>
      <c r="B35" s="62" t="s">
        <v>225</v>
      </c>
      <c r="C35" s="54" t="s">
        <v>178</v>
      </c>
      <c r="D35" s="78">
        <v>60000</v>
      </c>
      <c r="E35" s="78">
        <v>0</v>
      </c>
      <c r="F35" s="78">
        <f t="shared" si="2"/>
        <v>60000</v>
      </c>
      <c r="G35" s="78">
        <v>0</v>
      </c>
      <c r="H35" s="78">
        <v>0</v>
      </c>
      <c r="I35" s="283">
        <f t="shared" si="7"/>
        <v>60000</v>
      </c>
    </row>
    <row r="36" spans="1:9" ht="15">
      <c r="A36" s="45"/>
      <c r="B36" s="62" t="s">
        <v>226</v>
      </c>
      <c r="C36" s="54" t="s">
        <v>179</v>
      </c>
      <c r="D36" s="78">
        <v>165300</v>
      </c>
      <c r="E36" s="78">
        <v>-20694.52</v>
      </c>
      <c r="F36" s="78">
        <f t="shared" si="2"/>
        <v>144605.48000000001</v>
      </c>
      <c r="G36" s="78">
        <v>6675.03</v>
      </c>
      <c r="H36" s="78">
        <v>6675.03</v>
      </c>
      <c r="I36" s="283">
        <f t="shared" si="7"/>
        <v>137930.45000000001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24390</v>
      </c>
      <c r="F37" s="78">
        <f t="shared" si="2"/>
        <v>39390</v>
      </c>
      <c r="G37" s="375">
        <v>24390</v>
      </c>
      <c r="H37" s="78">
        <v>24390</v>
      </c>
      <c r="I37" s="283">
        <f t="shared" si="7"/>
        <v>15000</v>
      </c>
    </row>
    <row r="38" spans="1:9" ht="15">
      <c r="A38" s="45"/>
      <c r="B38" s="62" t="s">
        <v>228</v>
      </c>
      <c r="C38" s="54" t="s">
        <v>181</v>
      </c>
      <c r="D38" s="78">
        <v>18000</v>
      </c>
      <c r="E38" s="78">
        <v>387001.8</v>
      </c>
      <c r="F38" s="78">
        <f t="shared" si="2"/>
        <v>405001.8</v>
      </c>
      <c r="G38" s="78">
        <v>13096</v>
      </c>
      <c r="H38" s="78">
        <v>13096</v>
      </c>
      <c r="I38" s="283">
        <f t="shared" si="7"/>
        <v>391905.8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8">SUM(E40:E48)</f>
        <v>0</v>
      </c>
      <c r="F39" s="162">
        <f t="shared" si="8"/>
        <v>0</v>
      </c>
      <c r="G39" s="162">
        <f t="shared" si="8"/>
        <v>0</v>
      </c>
      <c r="H39" s="162">
        <f t="shared" si="8"/>
        <v>0</v>
      </c>
      <c r="I39" s="162">
        <f t="shared" si="8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100000</v>
      </c>
      <c r="E49" s="162">
        <f t="shared" ref="E49:I49" si="9">SUM(E50:E58)</f>
        <v>1438400</v>
      </c>
      <c r="F49" s="162">
        <f t="shared" si="9"/>
        <v>1538400</v>
      </c>
      <c r="G49" s="162">
        <f t="shared" si="9"/>
        <v>1438400</v>
      </c>
      <c r="H49" s="162">
        <f t="shared" si="9"/>
        <v>1438400</v>
      </c>
      <c r="I49" s="162">
        <f t="shared" si="9"/>
        <v>100000</v>
      </c>
    </row>
    <row r="50" spans="1:9" ht="15">
      <c r="A50" s="45"/>
      <c r="B50" s="62" t="s">
        <v>84</v>
      </c>
      <c r="C50" s="54" t="s">
        <v>191</v>
      </c>
      <c r="D50" s="78">
        <v>100000</v>
      </c>
      <c r="E50" s="78">
        <v>0</v>
      </c>
      <c r="F50" s="78">
        <f>D50+E50</f>
        <v>100000</v>
      </c>
      <c r="G50" s="78">
        <v>0</v>
      </c>
      <c r="H50" s="78">
        <v>0</v>
      </c>
      <c r="I50" s="283">
        <f>F50-G50</f>
        <v>100000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0">D51+E51</f>
        <v>0</v>
      </c>
      <c r="G51" s="78"/>
      <c r="H51" s="78"/>
      <c r="I51" s="283">
        <f t="shared" ref="I51:I58" si="11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0"/>
        <v>0</v>
      </c>
      <c r="G52" s="78"/>
      <c r="H52" s="78"/>
      <c r="I52" s="283">
        <f t="shared" si="11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0</v>
      </c>
      <c r="F53" s="283">
        <f t="shared" si="10"/>
        <v>0</v>
      </c>
      <c r="G53" s="283"/>
      <c r="H53" s="283"/>
      <c r="I53" s="283">
        <f t="shared" si="11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0"/>
        <v>0</v>
      </c>
      <c r="G54" s="78"/>
      <c r="H54" s="78"/>
      <c r="I54" s="283">
        <f t="shared" si="11"/>
        <v>0</v>
      </c>
    </row>
    <row r="55" spans="1:9" ht="15">
      <c r="A55" s="45"/>
      <c r="B55" s="62" t="s">
        <v>239</v>
      </c>
      <c r="C55" s="54" t="s">
        <v>196</v>
      </c>
      <c r="D55" s="78"/>
      <c r="E55" s="78">
        <v>1438400</v>
      </c>
      <c r="F55" s="78">
        <f t="shared" si="10"/>
        <v>1438400</v>
      </c>
      <c r="G55" s="78">
        <v>1438400</v>
      </c>
      <c r="H55" s="78">
        <v>1438400</v>
      </c>
      <c r="I55" s="283">
        <f t="shared" si="11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0"/>
        <v>0</v>
      </c>
      <c r="G56" s="78"/>
      <c r="H56" s="78"/>
      <c r="I56" s="283">
        <f t="shared" si="11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0"/>
        <v>0</v>
      </c>
      <c r="G57" s="78"/>
      <c r="H57" s="78"/>
      <c r="I57" s="283">
        <f t="shared" si="11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0"/>
        <v>0</v>
      </c>
      <c r="G58" s="78"/>
      <c r="H58" s="78"/>
      <c r="I58" s="283">
        <f t="shared" si="11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2">SUM(E60:E62)</f>
        <v>0</v>
      </c>
      <c r="F59" s="162">
        <f t="shared" si="12"/>
        <v>0</v>
      </c>
      <c r="G59" s="162">
        <f t="shared" si="12"/>
        <v>0</v>
      </c>
      <c r="H59" s="162">
        <f t="shared" si="12"/>
        <v>0</v>
      </c>
      <c r="I59" s="162">
        <f t="shared" si="12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3">SUM(E64:E70)</f>
        <v>0</v>
      </c>
      <c r="F63" s="162">
        <f t="shared" si="13"/>
        <v>0</v>
      </c>
      <c r="G63" s="162">
        <f t="shared" si="13"/>
        <v>0</v>
      </c>
      <c r="H63" s="162">
        <f t="shared" si="13"/>
        <v>0</v>
      </c>
      <c r="I63" s="162">
        <f t="shared" si="13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4">SUM(E72:E74)</f>
        <v>0</v>
      </c>
      <c r="F71" s="162">
        <f t="shared" si="14"/>
        <v>0</v>
      </c>
      <c r="G71" s="162">
        <f t="shared" si="14"/>
        <v>0</v>
      </c>
      <c r="H71" s="162">
        <f t="shared" si="14"/>
        <v>0</v>
      </c>
      <c r="I71" s="162">
        <f t="shared" si="14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5">SUM(E76:E82)</f>
        <v>0</v>
      </c>
      <c r="F75" s="162">
        <f t="shared" si="15"/>
        <v>0</v>
      </c>
      <c r="G75" s="162">
        <f t="shared" si="15"/>
        <v>0</v>
      </c>
      <c r="H75" s="162">
        <f t="shared" si="15"/>
        <v>0</v>
      </c>
      <c r="I75" s="162">
        <f t="shared" si="15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9933356</v>
      </c>
      <c r="E83" s="49">
        <f t="shared" ref="E83:I83" si="16">+E84+E92+E102+E112+E122+E132+E136+E144+E148</f>
        <v>4825.12</v>
      </c>
      <c r="F83" s="49">
        <f t="shared" si="16"/>
        <v>9938181.1199999992</v>
      </c>
      <c r="G83" s="49">
        <f t="shared" si="16"/>
        <v>639636.01</v>
      </c>
      <c r="H83" s="49">
        <f t="shared" si="16"/>
        <v>639636.01</v>
      </c>
      <c r="I83" s="49">
        <f t="shared" si="16"/>
        <v>9298545.1099999994</v>
      </c>
      <c r="L83" s="368"/>
    </row>
    <row r="84" spans="1:12" ht="15">
      <c r="A84" s="50"/>
      <c r="B84" s="51" t="s">
        <v>221</v>
      </c>
      <c r="C84" s="52"/>
      <c r="D84" s="53">
        <f>SUM(D85:D91)</f>
        <v>8716675</v>
      </c>
      <c r="E84" s="53">
        <f t="shared" ref="E84:I84" si="17">SUM(E85:E91)</f>
        <v>0</v>
      </c>
      <c r="F84" s="53">
        <f t="shared" si="17"/>
        <v>8716675</v>
      </c>
      <c r="G84" s="53">
        <f t="shared" si="17"/>
        <v>436582.95999999996</v>
      </c>
      <c r="H84" s="53">
        <f t="shared" si="17"/>
        <v>436582.95999999996</v>
      </c>
      <c r="I84" s="53">
        <f t="shared" si="17"/>
        <v>8280092.04</v>
      </c>
    </row>
    <row r="85" spans="1:12" ht="15">
      <c r="A85" s="45"/>
      <c r="B85" s="62" t="s">
        <v>6</v>
      </c>
      <c r="C85" s="54" t="s">
        <v>157</v>
      </c>
      <c r="D85" s="78">
        <v>0</v>
      </c>
      <c r="E85" s="78"/>
      <c r="F85" s="78">
        <f>D85+E85</f>
        <v>0</v>
      </c>
      <c r="G85" s="78">
        <v>0</v>
      </c>
      <c r="H85" s="78">
        <v>0</v>
      </c>
      <c r="I85" s="283">
        <f>F85-G85</f>
        <v>0</v>
      </c>
      <c r="K85" s="368"/>
    </row>
    <row r="86" spans="1:12" ht="15">
      <c r="A86" s="45"/>
      <c r="B86" s="62" t="s">
        <v>7</v>
      </c>
      <c r="C86" s="54" t="s">
        <v>158</v>
      </c>
      <c r="D86">
        <v>6299583</v>
      </c>
      <c r="E86" s="78"/>
      <c r="F86" s="283">
        <f t="shared" ref="F86:F91" si="18">D86+E86</f>
        <v>6299583</v>
      </c>
      <c r="G86" s="78">
        <v>392764.74</v>
      </c>
      <c r="H86" s="78">
        <v>392764.74</v>
      </c>
      <c r="I86" s="283">
        <f t="shared" ref="I86:I91" si="19">F86-G86</f>
        <v>5906818.2599999998</v>
      </c>
    </row>
    <row r="87" spans="1:12" ht="15">
      <c r="A87" s="45"/>
      <c r="B87" s="62" t="s">
        <v>8</v>
      </c>
      <c r="C87" s="54" t="s">
        <v>159</v>
      </c>
      <c r="D87" s="78">
        <v>1000000</v>
      </c>
      <c r="E87" s="78"/>
      <c r="F87" s="78">
        <f t="shared" si="18"/>
        <v>1000000</v>
      </c>
      <c r="G87" s="78">
        <v>0</v>
      </c>
      <c r="H87" s="78">
        <v>0</v>
      </c>
      <c r="I87" s="283">
        <f t="shared" si="19"/>
        <v>1000000</v>
      </c>
    </row>
    <row r="88" spans="1:12" ht="15">
      <c r="A88" s="45"/>
      <c r="B88" s="62" t="s">
        <v>9</v>
      </c>
      <c r="C88" s="54" t="s">
        <v>160</v>
      </c>
      <c r="D88" s="78">
        <v>791819</v>
      </c>
      <c r="E88" s="78"/>
      <c r="F88" s="78">
        <f t="shared" si="18"/>
        <v>791819</v>
      </c>
      <c r="G88" s="78">
        <v>0</v>
      </c>
      <c r="H88" s="78">
        <v>0</v>
      </c>
      <c r="I88" s="283">
        <f t="shared" si="19"/>
        <v>791819</v>
      </c>
    </row>
    <row r="89" spans="1:12" ht="15">
      <c r="A89" s="45"/>
      <c r="B89" s="62" t="s">
        <v>10</v>
      </c>
      <c r="C89" s="54" t="s">
        <v>161</v>
      </c>
      <c r="D89" s="78">
        <v>605273</v>
      </c>
      <c r="E89" s="78"/>
      <c r="F89" s="78">
        <f t="shared" si="18"/>
        <v>605273</v>
      </c>
      <c r="G89" s="78">
        <v>43818.22</v>
      </c>
      <c r="H89" s="78">
        <v>43818.22</v>
      </c>
      <c r="I89" s="283">
        <f t="shared" si="19"/>
        <v>561454.78</v>
      </c>
    </row>
    <row r="90" spans="1:12" ht="15">
      <c r="A90" s="45"/>
      <c r="B90" s="62" t="s">
        <v>11</v>
      </c>
      <c r="C90" s="54" t="s">
        <v>162</v>
      </c>
      <c r="D90" s="78">
        <v>20000</v>
      </c>
      <c r="E90" s="78"/>
      <c r="F90" s="78">
        <f t="shared" si="18"/>
        <v>20000</v>
      </c>
      <c r="G90" s="78">
        <v>0</v>
      </c>
      <c r="H90" s="78">
        <v>0</v>
      </c>
      <c r="I90" s="283">
        <f t="shared" si="19"/>
        <v>20000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18"/>
        <v>0</v>
      </c>
      <c r="G91" s="78">
        <v>0</v>
      </c>
      <c r="H91" s="78">
        <v>0</v>
      </c>
      <c r="I91" s="283">
        <f t="shared" si="19"/>
        <v>0</v>
      </c>
    </row>
    <row r="92" spans="1:12" ht="15">
      <c r="A92" s="50"/>
      <c r="B92" s="55" t="s">
        <v>229</v>
      </c>
      <c r="C92" s="56"/>
      <c r="D92" s="162">
        <f>SUM(D93:D101)</f>
        <v>216210</v>
      </c>
      <c r="E92" s="162">
        <f t="shared" ref="E92:I92" si="20">SUM(E93:E101)</f>
        <v>-211.8</v>
      </c>
      <c r="F92" s="162">
        <f t="shared" si="20"/>
        <v>215998.2</v>
      </c>
      <c r="G92" s="162">
        <f t="shared" si="20"/>
        <v>14842.96</v>
      </c>
      <c r="H92" s="162">
        <f t="shared" si="20"/>
        <v>14842.96</v>
      </c>
      <c r="I92" s="162">
        <f t="shared" si="20"/>
        <v>201155.24</v>
      </c>
    </row>
    <row r="93" spans="1:12" ht="15">
      <c r="A93" s="45"/>
      <c r="B93" s="62" t="s">
        <v>13</v>
      </c>
      <c r="C93" s="54" t="s">
        <v>164</v>
      </c>
      <c r="D93" s="78">
        <v>79300</v>
      </c>
      <c r="E93" s="78"/>
      <c r="F93" s="78">
        <f>D93+E93</f>
        <v>79300</v>
      </c>
      <c r="G93" s="78"/>
      <c r="H93" s="78"/>
      <c r="I93" s="283">
        <f>F93-G93</f>
        <v>79300</v>
      </c>
    </row>
    <row r="94" spans="1:12" ht="15">
      <c r="A94" s="45"/>
      <c r="B94" s="62" t="s">
        <v>14</v>
      </c>
      <c r="C94" s="54" t="s">
        <v>165</v>
      </c>
      <c r="D94" s="78">
        <v>21700</v>
      </c>
      <c r="E94" s="78"/>
      <c r="F94" s="78">
        <f t="shared" ref="F94:F101" si="21">D94+E94</f>
        <v>21700</v>
      </c>
      <c r="G94" s="78"/>
      <c r="H94" s="78"/>
      <c r="I94" s="283">
        <f t="shared" ref="I94:I101" si="22">F94-G94</f>
        <v>21700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3">
        <f t="shared" si="21"/>
        <v>0</v>
      </c>
      <c r="G95" s="78"/>
      <c r="H95" s="78"/>
      <c r="I95" s="283">
        <f t="shared" si="22"/>
        <v>0</v>
      </c>
    </row>
    <row r="96" spans="1:12" ht="15">
      <c r="A96" s="45"/>
      <c r="B96" s="62" t="s">
        <v>16</v>
      </c>
      <c r="C96" s="54" t="s">
        <v>167</v>
      </c>
      <c r="D96" s="78">
        <v>15000</v>
      </c>
      <c r="E96" s="375"/>
      <c r="F96" s="283">
        <f t="shared" si="21"/>
        <v>15000</v>
      </c>
      <c r="G96" s="78"/>
      <c r="H96" s="78"/>
      <c r="I96" s="283">
        <f t="shared" si="22"/>
        <v>15000</v>
      </c>
    </row>
    <row r="97" spans="1:9" ht="15">
      <c r="A97" s="45"/>
      <c r="B97" s="62" t="s">
        <v>17</v>
      </c>
      <c r="C97" s="54" t="s">
        <v>168</v>
      </c>
      <c r="D97" s="78">
        <v>4000</v>
      </c>
      <c r="E97" s="78"/>
      <c r="F97" s="78">
        <f t="shared" si="21"/>
        <v>4000</v>
      </c>
      <c r="G97" s="78"/>
      <c r="H97" s="78"/>
      <c r="I97" s="283">
        <f t="shared" si="22"/>
        <v>4000</v>
      </c>
    </row>
    <row r="98" spans="1:9" ht="15">
      <c r="A98" s="45"/>
      <c r="B98" s="62" t="s">
        <v>18</v>
      </c>
      <c r="C98" s="54" t="s">
        <v>169</v>
      </c>
      <c r="D98" s="78">
        <v>43410</v>
      </c>
      <c r="E98" s="78">
        <v>-211.8</v>
      </c>
      <c r="F98" s="78">
        <f t="shared" si="21"/>
        <v>43198.2</v>
      </c>
      <c r="G98" s="78">
        <v>14842.96</v>
      </c>
      <c r="H98" s="78">
        <v>14842.96</v>
      </c>
      <c r="I98" s="283">
        <f t="shared" si="22"/>
        <v>28355.239999999998</v>
      </c>
    </row>
    <row r="99" spans="1:9" ht="15">
      <c r="A99" s="45"/>
      <c r="B99" s="62" t="s">
        <v>61</v>
      </c>
      <c r="C99" s="54" t="s">
        <v>170</v>
      </c>
      <c r="D99" s="78">
        <v>19800</v>
      </c>
      <c r="E99" s="78"/>
      <c r="F99" s="78">
        <f t="shared" si="21"/>
        <v>19800</v>
      </c>
      <c r="G99" s="78"/>
      <c r="H99" s="78"/>
      <c r="I99" s="283">
        <f t="shared" si="22"/>
        <v>19800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1"/>
        <v>0</v>
      </c>
      <c r="G100" s="78"/>
      <c r="H100" s="78"/>
      <c r="I100" s="283">
        <f t="shared" si="22"/>
        <v>0</v>
      </c>
    </row>
    <row r="101" spans="1:9" ht="15">
      <c r="A101" s="45"/>
      <c r="B101" s="62" t="s">
        <v>224</v>
      </c>
      <c r="C101" s="54" t="s">
        <v>172</v>
      </c>
      <c r="D101" s="78">
        <v>33000</v>
      </c>
      <c r="E101" s="78"/>
      <c r="F101" s="283">
        <f t="shared" si="21"/>
        <v>33000</v>
      </c>
      <c r="G101" s="78"/>
      <c r="H101" s="78"/>
      <c r="I101" s="283">
        <f t="shared" si="22"/>
        <v>33000</v>
      </c>
    </row>
    <row r="102" spans="1:9" ht="15">
      <c r="A102" s="50"/>
      <c r="B102" s="55" t="s">
        <v>230</v>
      </c>
      <c r="C102" s="56"/>
      <c r="D102" s="162">
        <f>SUM(D103:D111)</f>
        <v>1000471</v>
      </c>
      <c r="E102" s="162">
        <f t="shared" ref="E102:I102" si="23">SUM(E103:E111)</f>
        <v>5036.92</v>
      </c>
      <c r="F102" s="162">
        <f t="shared" si="23"/>
        <v>1005507.9199999999</v>
      </c>
      <c r="G102" s="162">
        <f t="shared" si="23"/>
        <v>188210.09</v>
      </c>
      <c r="H102" s="162">
        <f t="shared" si="23"/>
        <v>188210.09</v>
      </c>
      <c r="I102" s="162">
        <f t="shared" si="23"/>
        <v>817297.83000000007</v>
      </c>
    </row>
    <row r="103" spans="1:9" ht="15">
      <c r="A103" s="45"/>
      <c r="B103" s="62" t="s">
        <v>21</v>
      </c>
      <c r="C103" s="54" t="s">
        <v>173</v>
      </c>
      <c r="D103" s="78">
        <v>133000</v>
      </c>
      <c r="E103" s="78">
        <v>211.8</v>
      </c>
      <c r="F103" s="78">
        <f>D103+E103</f>
        <v>133211.79999999999</v>
      </c>
      <c r="G103" s="78">
        <v>52035.8</v>
      </c>
      <c r="H103" s="78">
        <v>52035.8</v>
      </c>
      <c r="I103" s="283">
        <f>F103-G103</f>
        <v>81175.999999999985</v>
      </c>
    </row>
    <row r="104" spans="1:9" ht="15">
      <c r="A104" s="45"/>
      <c r="B104" s="62" t="s">
        <v>22</v>
      </c>
      <c r="C104" s="54" t="s">
        <v>174</v>
      </c>
      <c r="D104" s="78">
        <v>13000</v>
      </c>
      <c r="E104" s="78"/>
      <c r="F104" s="78">
        <f>D104+E104</f>
        <v>13000</v>
      </c>
      <c r="G104" s="78"/>
      <c r="H104" s="78"/>
      <c r="I104" s="283">
        <f t="shared" ref="I104:I111" si="24">F104-G104</f>
        <v>13000</v>
      </c>
    </row>
    <row r="105" spans="1:9" ht="15">
      <c r="A105" s="45"/>
      <c r="B105" s="62" t="s">
        <v>23</v>
      </c>
      <c r="C105" s="54" t="s">
        <v>175</v>
      </c>
      <c r="D105" s="78">
        <v>256847</v>
      </c>
      <c r="E105" s="78">
        <v>4719.12</v>
      </c>
      <c r="F105" s="78">
        <f t="shared" ref="F105:F111" si="25">D105+E105</f>
        <v>261566.12</v>
      </c>
      <c r="G105" s="78">
        <v>74061.539999999994</v>
      </c>
      <c r="H105" s="78">
        <v>74061.539999999994</v>
      </c>
      <c r="I105" s="283">
        <f t="shared" si="24"/>
        <v>187504.58000000002</v>
      </c>
    </row>
    <row r="106" spans="1:9" ht="15">
      <c r="A106" s="45"/>
      <c r="B106" s="62" t="s">
        <v>24</v>
      </c>
      <c r="C106" s="54" t="s">
        <v>176</v>
      </c>
      <c r="D106" s="78">
        <v>14000</v>
      </c>
      <c r="E106" s="78">
        <v>106</v>
      </c>
      <c r="F106" s="78">
        <f t="shared" si="25"/>
        <v>14106</v>
      </c>
      <c r="G106" s="78">
        <v>962.75</v>
      </c>
      <c r="H106" s="78">
        <v>962.75</v>
      </c>
      <c r="I106" s="283">
        <f t="shared" si="24"/>
        <v>13143.25</v>
      </c>
    </row>
    <row r="107" spans="1:9" ht="15">
      <c r="A107" s="45"/>
      <c r="B107" s="62" t="s">
        <v>25</v>
      </c>
      <c r="C107" s="54" t="s">
        <v>177</v>
      </c>
      <c r="D107" s="78">
        <v>375390</v>
      </c>
      <c r="E107" s="78"/>
      <c r="F107" s="78">
        <f t="shared" si="25"/>
        <v>375390</v>
      </c>
      <c r="G107" s="78">
        <v>61150</v>
      </c>
      <c r="H107" s="78">
        <v>61150</v>
      </c>
      <c r="I107" s="283">
        <f t="shared" si="24"/>
        <v>314240</v>
      </c>
    </row>
    <row r="108" spans="1:9" ht="15">
      <c r="A108" s="45"/>
      <c r="B108" s="62" t="s">
        <v>225</v>
      </c>
      <c r="C108" s="54" t="s">
        <v>178</v>
      </c>
      <c r="D108" s="78">
        <v>7500</v>
      </c>
      <c r="E108" s="78"/>
      <c r="F108" s="78">
        <f t="shared" si="25"/>
        <v>7500</v>
      </c>
      <c r="G108" s="78"/>
      <c r="H108" s="78"/>
      <c r="I108" s="283">
        <f t="shared" si="24"/>
        <v>7500</v>
      </c>
    </row>
    <row r="109" spans="1:9" ht="15">
      <c r="A109" s="45"/>
      <c r="B109" s="62" t="s">
        <v>226</v>
      </c>
      <c r="C109" s="54" t="s">
        <v>179</v>
      </c>
      <c r="D109" s="78">
        <v>195734</v>
      </c>
      <c r="E109" s="78"/>
      <c r="F109" s="78">
        <f t="shared" si="25"/>
        <v>195734</v>
      </c>
      <c r="G109" s="78"/>
      <c r="H109" s="78"/>
      <c r="I109" s="283">
        <f t="shared" si="24"/>
        <v>195734</v>
      </c>
    </row>
    <row r="110" spans="1:9" ht="15">
      <c r="A110" s="45"/>
      <c r="B110" s="62" t="s">
        <v>227</v>
      </c>
      <c r="C110" s="54" t="s">
        <v>180</v>
      </c>
      <c r="D110" s="78">
        <v>5000</v>
      </c>
      <c r="E110" s="78"/>
      <c r="F110" s="78">
        <f t="shared" si="25"/>
        <v>5000</v>
      </c>
      <c r="G110" s="78"/>
      <c r="H110" s="78"/>
      <c r="I110" s="283">
        <f t="shared" si="24"/>
        <v>5000</v>
      </c>
    </row>
    <row r="111" spans="1:9" ht="15">
      <c r="A111" s="45"/>
      <c r="B111" s="62" t="s">
        <v>228</v>
      </c>
      <c r="C111" s="54" t="s">
        <v>181</v>
      </c>
      <c r="D111" s="78">
        <v>0</v>
      </c>
      <c r="E111" s="78"/>
      <c r="F111" s="78">
        <f t="shared" si="25"/>
        <v>0</v>
      </c>
      <c r="G111" s="78"/>
      <c r="H111" s="78"/>
      <c r="I111" s="283">
        <f t="shared" si="24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6">SUM(E113:E121)</f>
        <v>0</v>
      </c>
      <c r="F112" s="162">
        <f t="shared" si="26"/>
        <v>0</v>
      </c>
      <c r="G112" s="162">
        <f t="shared" si="26"/>
        <v>0</v>
      </c>
      <c r="H112" s="162">
        <f t="shared" si="26"/>
        <v>0</v>
      </c>
      <c r="I112" s="162">
        <f t="shared" si="26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7">SUM(E123:E131)</f>
        <v>0</v>
      </c>
      <c r="F122" s="162">
        <f t="shared" si="27"/>
        <v>0</v>
      </c>
      <c r="G122" s="162">
        <f t="shared" si="27"/>
        <v>0</v>
      </c>
      <c r="H122" s="162">
        <f t="shared" si="27"/>
        <v>0</v>
      </c>
      <c r="I122" s="162">
        <f t="shared" si="27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28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28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28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28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>
        <v>0</v>
      </c>
      <c r="F128" s="283">
        <f t="shared" si="28"/>
        <v>0</v>
      </c>
      <c r="G128" s="78">
        <v>0</v>
      </c>
      <c r="H128" s="78">
        <v>0</v>
      </c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28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28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28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29">SUM(E133:E135)</f>
        <v>0</v>
      </c>
      <c r="F132" s="162">
        <f t="shared" si="29"/>
        <v>0</v>
      </c>
      <c r="G132" s="162">
        <f t="shared" si="29"/>
        <v>0</v>
      </c>
      <c r="H132" s="162">
        <f t="shared" si="29"/>
        <v>0</v>
      </c>
      <c r="I132" s="162">
        <f t="shared" si="29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0">SUM(E137:E143)</f>
        <v>0</v>
      </c>
      <c r="F136" s="162">
        <f t="shared" si="30"/>
        <v>0</v>
      </c>
      <c r="G136" s="162">
        <f t="shared" si="30"/>
        <v>0</v>
      </c>
      <c r="H136" s="162">
        <f t="shared" si="30"/>
        <v>0</v>
      </c>
      <c r="I136" s="162">
        <f t="shared" si="30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1">SUM(E145:E147)</f>
        <v>0</v>
      </c>
      <c r="F144" s="162">
        <f t="shared" si="31"/>
        <v>0</v>
      </c>
      <c r="G144" s="162">
        <f t="shared" si="31"/>
        <v>0</v>
      </c>
      <c r="H144" s="162">
        <f t="shared" si="31"/>
        <v>0</v>
      </c>
      <c r="I144" s="162">
        <f t="shared" si="31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2">SUM(E149:E155)</f>
        <v>0</v>
      </c>
      <c r="F148" s="162">
        <f t="shared" si="32"/>
        <v>0</v>
      </c>
      <c r="G148" s="162">
        <f t="shared" si="32"/>
        <v>0</v>
      </c>
      <c r="H148" s="162">
        <f t="shared" si="32"/>
        <v>0</v>
      </c>
      <c r="I148" s="162">
        <f t="shared" si="32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20766712</v>
      </c>
      <c r="E156" s="61">
        <f t="shared" ref="E156:I156" si="33">+E10+E83</f>
        <v>2221660.6</v>
      </c>
      <c r="F156" s="61">
        <f t="shared" si="33"/>
        <v>22988372.600000001</v>
      </c>
      <c r="G156" s="61">
        <f t="shared" si="33"/>
        <v>4808666.82</v>
      </c>
      <c r="H156" s="61">
        <f>+H10+H83</f>
        <v>4778666.82</v>
      </c>
      <c r="I156" s="61">
        <f t="shared" si="33"/>
        <v>18179705.779999997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-1359488</v>
      </c>
      <c r="E160" s="318">
        <f t="shared" ref="E160:I160" si="34">E158-E156</f>
        <v>-461786.68999999994</v>
      </c>
      <c r="F160" s="318">
        <f t="shared" si="34"/>
        <v>-1821274.6900000013</v>
      </c>
      <c r="G160" s="318">
        <f t="shared" si="34"/>
        <v>4811733.8999999985</v>
      </c>
      <c r="H160" s="318">
        <f t="shared" si="34"/>
        <v>4766292.66</v>
      </c>
      <c r="I160" s="318">
        <f t="shared" si="34"/>
        <v>-6633008.589999998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Normal="100" workbookViewId="0">
      <selection activeCell="F51" sqref="F51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82" t="s">
        <v>524</v>
      </c>
      <c r="C2" s="483"/>
      <c r="D2" s="483"/>
      <c r="E2" s="483"/>
      <c r="F2" s="483"/>
      <c r="G2" s="483"/>
      <c r="H2" s="484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5" t="s">
        <v>469</v>
      </c>
      <c r="C3" s="461"/>
      <c r="D3" s="461"/>
      <c r="E3" s="461"/>
      <c r="F3" s="461"/>
      <c r="G3" s="461"/>
      <c r="H3" s="486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7" t="s">
        <v>470</v>
      </c>
      <c r="C4" s="464"/>
      <c r="D4" s="464"/>
      <c r="E4" s="464"/>
      <c r="F4" s="464"/>
      <c r="G4" s="464"/>
      <c r="H4" s="488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7" t="s">
        <v>540</v>
      </c>
      <c r="C5" s="464"/>
      <c r="D5" s="464"/>
      <c r="E5" s="464"/>
      <c r="F5" s="464"/>
      <c r="G5" s="464"/>
      <c r="H5" s="488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9" t="s">
        <v>4</v>
      </c>
      <c r="C6" s="490"/>
      <c r="D6" s="490"/>
      <c r="E6" s="490"/>
      <c r="F6" s="490"/>
      <c r="G6" s="490"/>
      <c r="H6" s="491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9" t="s">
        <v>128</v>
      </c>
      <c r="C8" s="481" t="s">
        <v>455</v>
      </c>
      <c r="D8" s="481"/>
      <c r="E8" s="481"/>
      <c r="F8" s="481"/>
      <c r="G8" s="481"/>
      <c r="H8" s="479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80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80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10833356</v>
      </c>
      <c r="D10" s="324">
        <f t="shared" ref="D10:E10" si="0">SUM(D12:D17)</f>
        <v>2216835.48</v>
      </c>
      <c r="E10" s="324">
        <f t="shared" si="0"/>
        <v>13050191.479999999</v>
      </c>
      <c r="F10" s="324">
        <f>SUM(F12:F17)</f>
        <v>4169030.81</v>
      </c>
      <c r="G10" s="324">
        <f>SUM(G12:G17)</f>
        <v>4139030.81</v>
      </c>
      <c r="H10" s="324">
        <f>SUM(H12:H17)</f>
        <v>8881160.6699999999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60000</v>
      </c>
      <c r="D12" s="117">
        <v>21089.119999999999</v>
      </c>
      <c r="E12" s="117">
        <f>C12+D12</f>
        <v>81089.119999999995</v>
      </c>
      <c r="F12" s="372">
        <v>33904.769999999997</v>
      </c>
      <c r="G12" s="117">
        <v>33904.769999999997</v>
      </c>
      <c r="H12" s="117">
        <f>E12-F12</f>
        <v>47184.35</v>
      </c>
      <c r="I12" s="118"/>
      <c r="J12" s="322"/>
      <c r="K12" s="335">
        <f>F12*100/$F$10</f>
        <v>0.81325304477661065</v>
      </c>
      <c r="L12" s="335"/>
      <c r="M12" s="336">
        <v>13832.99</v>
      </c>
      <c r="N12" s="335"/>
      <c r="O12" s="336">
        <f>F12-M12</f>
        <v>20071.78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4127563</v>
      </c>
      <c r="D13" s="117">
        <v>762364.84</v>
      </c>
      <c r="E13" s="117">
        <f t="shared" ref="E13:E17" si="1">C13+D13</f>
        <v>4889927.84</v>
      </c>
      <c r="F13" s="117">
        <v>2622161.0099999998</v>
      </c>
      <c r="G13" s="117">
        <v>2592161.0099999998</v>
      </c>
      <c r="H13" s="117">
        <f t="shared" ref="H13:H17" si="2">E13-F13</f>
        <v>2267766.83</v>
      </c>
      <c r="I13" s="118"/>
      <c r="J13" s="322"/>
      <c r="K13" s="335">
        <f t="shared" ref="K13:K17" si="3">F13*100/$F$10</f>
        <v>62.896177301217875</v>
      </c>
      <c r="L13" s="335"/>
      <c r="M13" s="336">
        <v>17584.63</v>
      </c>
      <c r="N13" s="335"/>
      <c r="O13" s="336">
        <f t="shared" ref="O13:O17" si="4">F13-M13</f>
        <v>2604576.38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6370713</v>
      </c>
      <c r="D14" s="117">
        <v>1412472.44</v>
      </c>
      <c r="E14" s="117">
        <f t="shared" si="1"/>
        <v>7783185.4399999995</v>
      </c>
      <c r="F14" s="117">
        <v>1459655.77</v>
      </c>
      <c r="G14" s="117">
        <v>1459655.77</v>
      </c>
      <c r="H14" s="117">
        <f t="shared" si="2"/>
        <v>6323529.6699999999</v>
      </c>
      <c r="I14" s="118"/>
      <c r="J14" s="322"/>
      <c r="K14" s="335">
        <f t="shared" si="3"/>
        <v>35.011872939360693</v>
      </c>
      <c r="L14" s="335"/>
      <c r="M14" s="336">
        <v>144064.66</v>
      </c>
      <c r="N14" s="335"/>
      <c r="O14" s="336">
        <f t="shared" si="4"/>
        <v>1315591.1100000001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11080</v>
      </c>
      <c r="D15" s="117">
        <v>-2215.14</v>
      </c>
      <c r="E15" s="117">
        <f t="shared" si="1"/>
        <v>8864.86</v>
      </c>
      <c r="F15" s="117">
        <v>0</v>
      </c>
      <c r="G15" s="117">
        <v>0</v>
      </c>
      <c r="H15" s="117">
        <f t="shared" si="2"/>
        <v>8864.86</v>
      </c>
      <c r="I15" s="118"/>
      <c r="J15" s="322"/>
      <c r="K15" s="335">
        <f t="shared" si="3"/>
        <v>0</v>
      </c>
      <c r="L15" s="335"/>
      <c r="M15" s="336">
        <v>4971.8599999999997</v>
      </c>
      <c r="N15" s="335"/>
      <c r="O15" s="336">
        <f t="shared" si="4"/>
        <v>-4971.8599999999997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198000</v>
      </c>
      <c r="D16" s="117">
        <v>5494.23</v>
      </c>
      <c r="E16" s="117">
        <f t="shared" si="1"/>
        <v>203494.23</v>
      </c>
      <c r="F16" s="117">
        <v>30089.52</v>
      </c>
      <c r="G16" s="117">
        <v>30089.52</v>
      </c>
      <c r="H16" s="117">
        <f t="shared" si="2"/>
        <v>173404.71000000002</v>
      </c>
      <c r="J16" s="323"/>
      <c r="K16" s="335">
        <f t="shared" si="3"/>
        <v>0.72173896935052873</v>
      </c>
      <c r="L16" s="337"/>
      <c r="M16" s="336">
        <v>11448.32</v>
      </c>
      <c r="N16" s="337"/>
      <c r="O16" s="336">
        <f t="shared" si="4"/>
        <v>18641.2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66000</v>
      </c>
      <c r="D17" s="117">
        <v>17629.990000000002</v>
      </c>
      <c r="E17" s="117">
        <f t="shared" si="1"/>
        <v>83629.990000000005</v>
      </c>
      <c r="F17" s="117">
        <v>23219.74</v>
      </c>
      <c r="G17" s="117">
        <v>23219.74</v>
      </c>
      <c r="H17" s="117">
        <f t="shared" si="2"/>
        <v>60410.25</v>
      </c>
      <c r="K17" s="335">
        <f t="shared" si="3"/>
        <v>0.55695774529428344</v>
      </c>
      <c r="L17" s="338"/>
      <c r="M17" s="336">
        <v>9681.73</v>
      </c>
      <c r="N17" s="338"/>
      <c r="O17" s="336">
        <f t="shared" si="4"/>
        <v>13538.010000000002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99.999999999999986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9933356</v>
      </c>
      <c r="D21" s="122">
        <f>SUM(D22:D27)</f>
        <v>4825.12</v>
      </c>
      <c r="E21" s="122">
        <f>SUM(E22:E27)</f>
        <v>9938181.1199999992</v>
      </c>
      <c r="F21" s="122">
        <f>SUM(F22:F27)</f>
        <v>639636.01</v>
      </c>
      <c r="G21" s="122">
        <f>SUM(G22:G27)</f>
        <v>639636.01</v>
      </c>
      <c r="H21" s="122">
        <f t="shared" ref="H21:H27" si="5">E21-F21</f>
        <v>9298545.1099999994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48091</v>
      </c>
      <c r="D22" s="125">
        <v>0</v>
      </c>
      <c r="E22" s="125">
        <f>C22+D22</f>
        <v>48091</v>
      </c>
      <c r="F22" s="125">
        <v>1300</v>
      </c>
      <c r="G22" s="125">
        <v>1300</v>
      </c>
      <c r="H22" s="125">
        <f t="shared" si="5"/>
        <v>46791</v>
      </c>
      <c r="I22" s="118"/>
      <c r="K22" s="341">
        <f>F22*100/$F$21</f>
        <v>0.20324058990987703</v>
      </c>
      <c r="L22" s="341"/>
      <c r="M22" s="341">
        <v>16252.18</v>
      </c>
      <c r="N22" s="341"/>
      <c r="O22" s="342">
        <f>O12-M22</f>
        <v>3819.5999999999985</v>
      </c>
      <c r="P22" s="341"/>
      <c r="Q22" s="341">
        <v>173.83</v>
      </c>
      <c r="R22" s="341"/>
      <c r="S22" s="342">
        <f>O22-Q22</f>
        <v>3645.7699999999986</v>
      </c>
    </row>
    <row r="23" spans="2:19" s="126" customFormat="1">
      <c r="B23" s="270" t="s">
        <v>526</v>
      </c>
      <c r="C23" s="125">
        <v>9615255</v>
      </c>
      <c r="D23" s="125">
        <v>4825.12</v>
      </c>
      <c r="E23" s="125">
        <f t="shared" ref="E23:E27" si="6">C23+D23</f>
        <v>9620080.1199999992</v>
      </c>
      <c r="F23" s="125">
        <v>628026.01</v>
      </c>
      <c r="G23" s="125">
        <v>628026.01</v>
      </c>
      <c r="H23" s="125">
        <f t="shared" si="5"/>
        <v>8992054.1099999994</v>
      </c>
      <c r="I23" s="118"/>
      <c r="K23" s="341">
        <f t="shared" ref="K23:K27" si="7">F23*100/$F$21</f>
        <v>98.184905193189479</v>
      </c>
      <c r="L23" s="341"/>
      <c r="M23" s="341">
        <v>16252.18</v>
      </c>
      <c r="N23" s="341"/>
      <c r="O23" s="342">
        <f t="shared" ref="O23:O28" si="8">O13-M23</f>
        <v>2588324.1999999997</v>
      </c>
      <c r="P23" s="341"/>
      <c r="Q23" s="341">
        <v>173.83</v>
      </c>
      <c r="R23" s="341"/>
      <c r="S23" s="342">
        <f t="shared" ref="S23:S27" si="9">O23-Q23</f>
        <v>2588150.3699999996</v>
      </c>
    </row>
    <row r="24" spans="2:19" s="126" customFormat="1">
      <c r="B24" s="270" t="s">
        <v>527</v>
      </c>
      <c r="C24" s="125">
        <v>132960</v>
      </c>
      <c r="D24" s="125">
        <v>626.6</v>
      </c>
      <c r="E24" s="125">
        <f t="shared" si="6"/>
        <v>133586.6</v>
      </c>
      <c r="F24" s="125">
        <v>6986.6</v>
      </c>
      <c r="G24" s="125">
        <v>6986.6</v>
      </c>
      <c r="H24" s="125">
        <f t="shared" si="5"/>
        <v>126600</v>
      </c>
      <c r="K24" s="341">
        <f t="shared" si="7"/>
        <v>1.0922774657418053</v>
      </c>
      <c r="L24" s="341"/>
      <c r="M24" s="341">
        <v>16252.18</v>
      </c>
      <c r="N24" s="341"/>
      <c r="O24" s="342">
        <f t="shared" si="8"/>
        <v>1299338.9300000002</v>
      </c>
      <c r="P24" s="341"/>
      <c r="Q24" s="341">
        <v>173.83</v>
      </c>
      <c r="R24" s="341"/>
      <c r="S24" s="342">
        <f t="shared" si="9"/>
        <v>1299165.1000000001</v>
      </c>
    </row>
    <row r="25" spans="2:19" s="126" customFormat="1">
      <c r="B25" s="270" t="s">
        <v>528</v>
      </c>
      <c r="C25" s="125">
        <v>22040</v>
      </c>
      <c r="D25" s="125">
        <v>0</v>
      </c>
      <c r="E25" s="125">
        <f t="shared" si="6"/>
        <v>22040</v>
      </c>
      <c r="F25" s="125">
        <v>0</v>
      </c>
      <c r="G25" s="125">
        <v>0</v>
      </c>
      <c r="H25" s="125">
        <f t="shared" si="5"/>
        <v>22040</v>
      </c>
      <c r="K25" s="341">
        <f t="shared" si="7"/>
        <v>0</v>
      </c>
      <c r="L25" s="341"/>
      <c r="M25" s="341">
        <v>16252.18</v>
      </c>
      <c r="N25" s="341"/>
      <c r="O25" s="342">
        <f t="shared" si="8"/>
        <v>-21224.04</v>
      </c>
      <c r="P25" s="341"/>
      <c r="Q25" s="341">
        <v>173.83</v>
      </c>
      <c r="R25" s="341"/>
      <c r="S25" s="342">
        <f t="shared" si="9"/>
        <v>-21397.870000000003</v>
      </c>
    </row>
    <row r="26" spans="2:19" s="126" customFormat="1">
      <c r="B26" s="270" t="s">
        <v>530</v>
      </c>
      <c r="C26" s="125">
        <v>100010</v>
      </c>
      <c r="D26" s="125">
        <v>-626.6</v>
      </c>
      <c r="E26" s="125">
        <f t="shared" si="6"/>
        <v>99383.4</v>
      </c>
      <c r="F26" s="125">
        <v>3323.4</v>
      </c>
      <c r="G26" s="125">
        <v>3323.4</v>
      </c>
      <c r="H26" s="125">
        <f t="shared" si="5"/>
        <v>96060</v>
      </c>
      <c r="K26" s="341">
        <f t="shared" si="7"/>
        <v>0.51957675115883484</v>
      </c>
      <c r="L26" s="341"/>
      <c r="M26" s="341">
        <v>16252.18</v>
      </c>
      <c r="N26" s="341"/>
      <c r="O26" s="342">
        <f t="shared" si="8"/>
        <v>2389.0200000000004</v>
      </c>
      <c r="P26" s="341"/>
      <c r="Q26" s="341">
        <v>173.84</v>
      </c>
      <c r="R26" s="341"/>
      <c r="S26" s="342">
        <f t="shared" si="9"/>
        <v>2215.1800000000003</v>
      </c>
    </row>
    <row r="27" spans="2:19" s="126" customFormat="1">
      <c r="B27" s="270" t="s">
        <v>529</v>
      </c>
      <c r="C27" s="125">
        <v>15000</v>
      </c>
      <c r="D27" s="125">
        <v>0</v>
      </c>
      <c r="E27" s="125">
        <f t="shared" si="6"/>
        <v>15000</v>
      </c>
      <c r="F27" s="125">
        <v>0</v>
      </c>
      <c r="G27" s="125">
        <v>0</v>
      </c>
      <c r="H27" s="125">
        <f t="shared" si="5"/>
        <v>15000</v>
      </c>
      <c r="K27" s="341">
        <f t="shared" si="7"/>
        <v>0</v>
      </c>
      <c r="L27" s="341"/>
      <c r="M27" s="341">
        <v>16252.18</v>
      </c>
      <c r="N27" s="341"/>
      <c r="O27" s="342">
        <f t="shared" si="8"/>
        <v>-2714.1699999999983</v>
      </c>
      <c r="P27" s="341"/>
      <c r="Q27" s="341">
        <v>173.84</v>
      </c>
      <c r="R27" s="341"/>
      <c r="S27" s="342">
        <f t="shared" si="9"/>
        <v>-2888.0099999999984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1517.8669068365928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20766712</v>
      </c>
      <c r="D30" s="128">
        <f t="shared" ref="D30:F30" si="11">D10+D21</f>
        <v>2221660.6</v>
      </c>
      <c r="E30" s="128">
        <f t="shared" si="11"/>
        <v>22988372.599999998</v>
      </c>
      <c r="F30" s="128">
        <f t="shared" si="11"/>
        <v>4808666.82</v>
      </c>
      <c r="G30" s="128">
        <f>G10+G21</f>
        <v>4778666.82</v>
      </c>
      <c r="H30" s="128">
        <f>H10+H21</f>
        <v>18179705.780000001</v>
      </c>
      <c r="K30" s="271">
        <f>SUM(K22:K27)</f>
        <v>100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20766712</v>
      </c>
      <c r="D35" s="330">
        <f t="shared" ref="D35:H35" si="12">D10+D21</f>
        <v>2221660.6</v>
      </c>
      <c r="E35" s="330">
        <f t="shared" si="12"/>
        <v>22988372.599999998</v>
      </c>
      <c r="F35" s="330">
        <f t="shared" si="12"/>
        <v>4808666.82</v>
      </c>
      <c r="G35" s="330">
        <f t="shared" si="12"/>
        <v>4778666.82</v>
      </c>
      <c r="H35" s="330">
        <f t="shared" si="12"/>
        <v>18179705.780000001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-1545450</v>
      </c>
      <c r="D37" s="330">
        <f t="shared" ref="D37:H37" si="13">D33-D35</f>
        <v>-5307695.04</v>
      </c>
      <c r="E37" s="330">
        <f t="shared" si="13"/>
        <v>-6853145.0399999991</v>
      </c>
      <c r="F37" s="330">
        <f t="shared" si="13"/>
        <v>11046690.789999999</v>
      </c>
      <c r="G37" s="330">
        <f t="shared" si="13"/>
        <v>10796489.68</v>
      </c>
      <c r="H37" s="330">
        <f t="shared" si="13"/>
        <v>-17899835.830000002</v>
      </c>
    </row>
    <row r="38" spans="3:9" hidden="1">
      <c r="C38" s="272">
        <f>C37-C10</f>
        <v>-12378806</v>
      </c>
      <c r="D38" s="273">
        <f>C38/6</f>
        <v>-2063134.3333333333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35204.769999999997</v>
      </c>
      <c r="F43" s="272"/>
      <c r="G43" s="272">
        <f>F30-G30</f>
        <v>30000</v>
      </c>
      <c r="H43" s="272"/>
      <c r="I43" s="130"/>
    </row>
    <row r="44" spans="3:9">
      <c r="C44" s="272">
        <f>C42-C30</f>
        <v>-1359488</v>
      </c>
      <c r="D44" s="272">
        <f t="shared" ref="D44:H44" si="14">D42-D30</f>
        <v>-461786.68999999994</v>
      </c>
      <c r="E44" s="272">
        <f t="shared" si="14"/>
        <v>-1821274.6899999976</v>
      </c>
      <c r="F44" s="272">
        <f t="shared" si="14"/>
        <v>4811733.8999999985</v>
      </c>
      <c r="G44" s="272">
        <f t="shared" si="14"/>
        <v>4766292.66</v>
      </c>
      <c r="H44" s="272">
        <f t="shared" si="14"/>
        <v>-6633008.5900000017</v>
      </c>
      <c r="I44" s="130"/>
    </row>
    <row r="45" spans="3:9">
      <c r="E45" s="272">
        <f t="shared" ref="E45:E48" si="15">G14+G24</f>
        <v>1466642.37</v>
      </c>
      <c r="F45" s="271"/>
      <c r="G45" s="273">
        <v>201584.19</v>
      </c>
    </row>
    <row r="46" spans="3:9">
      <c r="E46" s="272">
        <f t="shared" si="15"/>
        <v>0</v>
      </c>
      <c r="F46" s="271"/>
      <c r="G46" s="273">
        <v>97513.08</v>
      </c>
    </row>
    <row r="47" spans="3:9">
      <c r="E47" s="272">
        <f t="shared" si="15"/>
        <v>33412.92</v>
      </c>
      <c r="F47" s="271"/>
      <c r="G47" s="273">
        <v>1043</v>
      </c>
    </row>
    <row r="48" spans="3:9">
      <c r="E48" s="272">
        <f t="shared" si="15"/>
        <v>23219.74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opLeftCell="A19" workbookViewId="0">
      <selection activeCell="E17" sqref="E17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94" t="s">
        <v>524</v>
      </c>
      <c r="C2" s="495"/>
      <c r="D2" s="495"/>
      <c r="E2" s="495"/>
      <c r="F2" s="495"/>
      <c r="G2" s="495"/>
      <c r="H2" s="495"/>
      <c r="I2" s="496"/>
    </row>
    <row r="3" spans="1:9" s="154" customFormat="1" ht="15">
      <c r="B3" s="497" t="s">
        <v>365</v>
      </c>
      <c r="C3" s="498"/>
      <c r="D3" s="498"/>
      <c r="E3" s="498"/>
      <c r="F3" s="498"/>
      <c r="G3" s="498"/>
      <c r="H3" s="498"/>
      <c r="I3" s="499"/>
    </row>
    <row r="4" spans="1:9" s="154" customFormat="1" ht="15">
      <c r="B4" s="497" t="s">
        <v>473</v>
      </c>
      <c r="C4" s="498"/>
      <c r="D4" s="498"/>
      <c r="E4" s="498"/>
      <c r="F4" s="498"/>
      <c r="G4" s="498"/>
      <c r="H4" s="498"/>
      <c r="I4" s="499"/>
    </row>
    <row r="5" spans="1:9" s="154" customFormat="1" ht="15">
      <c r="B5" s="497" t="s">
        <v>540</v>
      </c>
      <c r="C5" s="498"/>
      <c r="D5" s="498"/>
      <c r="E5" s="498"/>
      <c r="F5" s="498"/>
      <c r="G5" s="498"/>
      <c r="H5" s="498"/>
      <c r="I5" s="499"/>
    </row>
    <row r="6" spans="1:9" s="154" customFormat="1" ht="15.75" thickBot="1">
      <c r="B6" s="500" t="s">
        <v>4</v>
      </c>
      <c r="C6" s="501"/>
      <c r="D6" s="501"/>
      <c r="E6" s="501"/>
      <c r="F6" s="501"/>
      <c r="G6" s="501"/>
      <c r="H6" s="501"/>
      <c r="I6" s="502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4" t="s">
        <v>128</v>
      </c>
      <c r="C8" s="503"/>
      <c r="D8" s="505" t="s">
        <v>455</v>
      </c>
      <c r="E8" s="506"/>
      <c r="F8" s="506"/>
      <c r="G8" s="506"/>
      <c r="H8" s="507"/>
      <c r="I8" s="508" t="s">
        <v>149</v>
      </c>
    </row>
    <row r="9" spans="1:9" s="154" customFormat="1" ht="30.75" thickBot="1">
      <c r="B9" s="500"/>
      <c r="C9" s="504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09"/>
    </row>
    <row r="10" spans="1:9" ht="7.9" customHeight="1">
      <c r="B10" s="492"/>
      <c r="C10" s="493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10833356</v>
      </c>
      <c r="E11" s="282">
        <f t="shared" ref="E11:H11" si="0">E12+E21+E29+E39</f>
        <v>2216835.48</v>
      </c>
      <c r="F11" s="282">
        <f t="shared" si="0"/>
        <v>13050191.48</v>
      </c>
      <c r="G11" s="282">
        <f t="shared" si="0"/>
        <v>4169030.8100000005</v>
      </c>
      <c r="H11" s="282">
        <f t="shared" si="0"/>
        <v>4139030.8100000005</v>
      </c>
      <c r="I11" s="310">
        <f>F11-G11</f>
        <v>8881160.6699999999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10833356</v>
      </c>
      <c r="E21" s="309">
        <f t="shared" ref="E21:H21" si="2">SUM(E22:E28)</f>
        <v>2216835.48</v>
      </c>
      <c r="F21" s="309">
        <f t="shared" si="2"/>
        <v>13050191.48</v>
      </c>
      <c r="G21" s="309">
        <f t="shared" si="2"/>
        <v>4169030.8100000005</v>
      </c>
      <c r="H21" s="309">
        <f t="shared" si="2"/>
        <v>4139030.8100000005</v>
      </c>
      <c r="I21" s="309">
        <f>F21-G21</f>
        <v>8881160.6699999999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10833356</v>
      </c>
      <c r="E26" s="308">
        <f>'F6a. EAEPE OG'!E10</f>
        <v>2216835.48</v>
      </c>
      <c r="F26" s="308">
        <f>'F6a. EAEPE OG'!F10</f>
        <v>13050191.48</v>
      </c>
      <c r="G26" s="308">
        <f>'F6a. EAEPE OG'!G10</f>
        <v>4169030.8100000005</v>
      </c>
      <c r="H26" s="308">
        <f>'F6a. EAEPE OG'!H10</f>
        <v>4139030.8100000005</v>
      </c>
      <c r="I26" s="308">
        <f>F26-G26</f>
        <v>8881160.6699999999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9933356</v>
      </c>
      <c r="E44" s="282">
        <f t="shared" ref="E44:H44" si="5">E45+E54+E62+E72</f>
        <v>4825.12</v>
      </c>
      <c r="F44" s="282">
        <f t="shared" si="5"/>
        <v>9938181.1199999992</v>
      </c>
      <c r="G44" s="282">
        <f t="shared" si="5"/>
        <v>639636.01</v>
      </c>
      <c r="H44" s="282">
        <f t="shared" si="5"/>
        <v>639636.01</v>
      </c>
      <c r="I44" s="282">
        <f>F44-G44</f>
        <v>9298545.1099999994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9933356</v>
      </c>
      <c r="E54" s="312">
        <f t="shared" ref="E54:H54" si="6">SUM(E55:E61)</f>
        <v>4825.12</v>
      </c>
      <c r="F54" s="312">
        <f t="shared" si="6"/>
        <v>9938181.1199999992</v>
      </c>
      <c r="G54" s="312">
        <f t="shared" si="6"/>
        <v>639636.01</v>
      </c>
      <c r="H54" s="312">
        <f t="shared" si="6"/>
        <v>639636.01</v>
      </c>
      <c r="I54" s="312">
        <f>F54-G54</f>
        <v>9298545.1099999994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9933356</v>
      </c>
      <c r="E59" s="313">
        <f>'F6a. EAEPE OG'!E83</f>
        <v>4825.12</v>
      </c>
      <c r="F59" s="313">
        <f>'F6a. EAEPE OG'!F83</f>
        <v>9938181.1199999992</v>
      </c>
      <c r="G59" s="313">
        <f>'F6a. EAEPE OG'!G83</f>
        <v>639636.01</v>
      </c>
      <c r="H59" s="313">
        <f>'F6a. EAEPE OG'!H83</f>
        <v>639636.01</v>
      </c>
      <c r="I59" s="313">
        <f>F59-G59</f>
        <v>9298545.1099999994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20766712</v>
      </c>
      <c r="E77" s="281">
        <f t="shared" ref="E77:H77" si="9">E11+E44</f>
        <v>2221660.6</v>
      </c>
      <c r="F77" s="281">
        <f t="shared" si="9"/>
        <v>22988372.600000001</v>
      </c>
      <c r="G77" s="281">
        <f t="shared" si="9"/>
        <v>4808666.82</v>
      </c>
      <c r="H77" s="281">
        <f t="shared" si="9"/>
        <v>4778666.82</v>
      </c>
      <c r="I77" s="314">
        <f>I11+I44</f>
        <v>18179705.780000001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-1359488</v>
      </c>
      <c r="E81" s="329">
        <f t="shared" ref="E81:I81" si="10">E79-E77</f>
        <v>-461786.68999999994</v>
      </c>
      <c r="F81" s="329">
        <f t="shared" si="10"/>
        <v>-1821274.6900000013</v>
      </c>
      <c r="G81" s="329">
        <f t="shared" si="10"/>
        <v>4811733.8999999985</v>
      </c>
      <c r="H81" s="329">
        <f t="shared" si="10"/>
        <v>4766292.66</v>
      </c>
      <c r="I81" s="329">
        <f t="shared" si="10"/>
        <v>-6633008.5900000017</v>
      </c>
    </row>
    <row r="82" spans="4:9" s="317" customFormat="1">
      <c r="D82" s="329"/>
      <c r="E82" s="329">
        <f>E80-E77</f>
        <v>-5337695.1399999997</v>
      </c>
      <c r="F82" s="329">
        <f t="shared" ref="F82:I82" si="11">F80-F77</f>
        <v>-6883145.1400000006</v>
      </c>
      <c r="G82" s="329">
        <f t="shared" si="11"/>
        <v>11046690.789999997</v>
      </c>
      <c r="H82" s="329">
        <f t="shared" si="11"/>
        <v>10990272.139999999</v>
      </c>
      <c r="I82" s="329">
        <f t="shared" si="11"/>
        <v>-17929835.93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tabSelected="1" workbookViewId="0">
      <selection activeCell="D18" sqref="D18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3" t="s">
        <v>524</v>
      </c>
      <c r="C2" s="514"/>
      <c r="D2" s="514"/>
      <c r="E2" s="514"/>
      <c r="F2" s="514"/>
      <c r="G2" s="514"/>
      <c r="H2" s="515"/>
    </row>
    <row r="3" spans="2:8" s="159" customFormat="1">
      <c r="B3" s="516" t="s">
        <v>365</v>
      </c>
      <c r="C3" s="517"/>
      <c r="D3" s="517"/>
      <c r="E3" s="517"/>
      <c r="F3" s="517"/>
      <c r="G3" s="517"/>
      <c r="H3" s="518"/>
    </row>
    <row r="4" spans="2:8" s="159" customFormat="1">
      <c r="B4" s="516" t="s">
        <v>454</v>
      </c>
      <c r="C4" s="517"/>
      <c r="D4" s="517"/>
      <c r="E4" s="517"/>
      <c r="F4" s="517"/>
      <c r="G4" s="517"/>
      <c r="H4" s="518"/>
    </row>
    <row r="5" spans="2:8" s="159" customFormat="1">
      <c r="B5" s="516" t="s">
        <v>545</v>
      </c>
      <c r="C5" s="517"/>
      <c r="D5" s="517"/>
      <c r="E5" s="517"/>
      <c r="F5" s="517"/>
      <c r="G5" s="517"/>
      <c r="H5" s="518"/>
    </row>
    <row r="6" spans="2:8" s="159" customFormat="1" ht="13.5" thickBot="1">
      <c r="B6" s="519" t="s">
        <v>4</v>
      </c>
      <c r="C6" s="520"/>
      <c r="D6" s="520"/>
      <c r="E6" s="520"/>
      <c r="F6" s="520"/>
      <c r="G6" s="520"/>
      <c r="H6" s="521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10" t="s">
        <v>128</v>
      </c>
      <c r="C8" s="512" t="s">
        <v>455</v>
      </c>
      <c r="D8" s="512"/>
      <c r="E8" s="512"/>
      <c r="F8" s="512"/>
      <c r="G8" s="512"/>
      <c r="H8" s="512" t="s">
        <v>149</v>
      </c>
    </row>
    <row r="9" spans="2:8" s="159" customFormat="1" ht="26.25" thickBot="1">
      <c r="B9" s="511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12"/>
    </row>
    <row r="10" spans="2:8">
      <c r="B10" s="101" t="s">
        <v>456</v>
      </c>
      <c r="C10" s="102">
        <f>C11+C12+C13+C16+C17+C20</f>
        <v>10833356</v>
      </c>
      <c r="D10" s="102">
        <f t="shared" ref="D10:G10" si="0">D11+D12+D13+D16+D17+D20</f>
        <v>2216835.48</v>
      </c>
      <c r="E10" s="102">
        <f t="shared" si="0"/>
        <v>13050191.48</v>
      </c>
      <c r="F10" s="102">
        <f t="shared" si="0"/>
        <v>4169030.81</v>
      </c>
      <c r="G10" s="102">
        <f t="shared" si="0"/>
        <v>4139030.81</v>
      </c>
      <c r="H10" s="102">
        <f>E10-F10</f>
        <v>8881160.6699999999</v>
      </c>
    </row>
    <row r="11" spans="2:8">
      <c r="B11" s="103" t="s">
        <v>457</v>
      </c>
      <c r="C11" s="111">
        <f>'F6b. EAEPE ADMVA'!C10</f>
        <v>10833356</v>
      </c>
      <c r="D11" s="104">
        <f>'F6b. EAEPE ADMVA'!D10</f>
        <v>2216835.48</v>
      </c>
      <c r="E11" s="104">
        <f>C11+D11</f>
        <v>13050191.48</v>
      </c>
      <c r="F11" s="104">
        <f>'F6b. EAEPE ADMVA'!F10</f>
        <v>4169030.81</v>
      </c>
      <c r="G11" s="104">
        <f>'F6b. EAEPE ADMVA'!G10</f>
        <v>4139030.81</v>
      </c>
      <c r="H11" s="104">
        <f>E11-F11</f>
        <v>8881160.6699999999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9933356</v>
      </c>
      <c r="D22" s="109">
        <f t="shared" ref="D22:G22" si="1">D23+D24+D28+D29+D32</f>
        <v>4825.12</v>
      </c>
      <c r="E22" s="109">
        <f t="shared" si="1"/>
        <v>9938181.1199999992</v>
      </c>
      <c r="F22" s="109">
        <f t="shared" si="1"/>
        <v>639636.01</v>
      </c>
      <c r="G22" s="109">
        <f t="shared" si="1"/>
        <v>639636.01</v>
      </c>
      <c r="H22" s="109">
        <f>E22-F22</f>
        <v>9298545.1099999994</v>
      </c>
    </row>
    <row r="23" spans="2:8">
      <c r="B23" s="103" t="s">
        <v>457</v>
      </c>
      <c r="C23" s="104">
        <f>'F6b. EAEPE ADMVA'!C21</f>
        <v>9933356</v>
      </c>
      <c r="D23" s="104">
        <f>'F6b. EAEPE ADMVA'!D21</f>
        <v>4825.12</v>
      </c>
      <c r="E23" s="104">
        <f>C23+D23</f>
        <v>9938181.1199999992</v>
      </c>
      <c r="F23" s="104">
        <f>'F6b. EAEPE ADMVA'!F21</f>
        <v>639636.01</v>
      </c>
      <c r="G23" s="104">
        <f>'F6b. EAEPE ADMVA'!G21</f>
        <v>639636.01</v>
      </c>
      <c r="H23" s="104">
        <f>E23-F23</f>
        <v>9298545.1099999994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20766712</v>
      </c>
      <c r="D34" s="114">
        <f t="shared" ref="D34:F34" si="2">D10+D22</f>
        <v>2221660.6</v>
      </c>
      <c r="E34" s="114">
        <f t="shared" si="2"/>
        <v>22988372.600000001</v>
      </c>
      <c r="F34" s="114">
        <f t="shared" si="2"/>
        <v>4808666.82</v>
      </c>
      <c r="G34" s="114">
        <f>G10+G22</f>
        <v>4778666.82</v>
      </c>
      <c r="H34" s="114">
        <f>H10+H22</f>
        <v>18179705.780000001</v>
      </c>
    </row>
    <row r="35" spans="2:8">
      <c r="G35" s="344">
        <f>F34-G34</f>
        <v>30000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-1359488</v>
      </c>
      <c r="D39" s="344">
        <f t="shared" ref="D39:H39" si="3">D36-D34</f>
        <v>-461786.68999999994</v>
      </c>
      <c r="E39" s="344">
        <f t="shared" si="3"/>
        <v>-1821274.6900000013</v>
      </c>
      <c r="F39" s="344">
        <f t="shared" si="3"/>
        <v>4811733.8999999985</v>
      </c>
      <c r="G39" s="344">
        <f t="shared" si="3"/>
        <v>4766292.66</v>
      </c>
      <c r="H39" s="344">
        <f t="shared" si="3"/>
        <v>-6633008.5900000017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2022-02-02T20:18:25Z</cp:lastPrinted>
  <dcterms:created xsi:type="dcterms:W3CDTF">2017-05-03T19:21:22Z</dcterms:created>
  <dcterms:modified xsi:type="dcterms:W3CDTF">2022-04-29T19:19:11Z</dcterms:modified>
</cp:coreProperties>
</file>